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50\Transparencia\Nodo 2022\Septiembre (31 de agosto de 2022)\"/>
    </mc:Choice>
  </mc:AlternateContent>
  <xr:revisionPtr revIDLastSave="0" documentId="13_ncr:1_{F6AD9E49-520F-41F3-8E3A-947D89E3214C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Ejec en base Modificado" sheetId="33" r:id="rId1"/>
    <sheet name="Ejec en base Asignado" sheetId="32" r:id="rId2"/>
    <sheet name="Funcionamiento" sheetId="30" r:id="rId3"/>
    <sheet name="Inversiones" sheetId="18" r:id="rId4"/>
  </sheets>
  <definedNames>
    <definedName name="_xlnm.Print_Area" localSheetId="1">'Ejec en base Asignado'!$A$1:$M$29</definedName>
    <definedName name="_xlnm.Print_Area" localSheetId="0">'Ejec en base Modificado'!$A$1:$M$28</definedName>
    <definedName name="_xlnm.Print_Area" localSheetId="2">Funcionamiento!$A$1:$K$34</definedName>
    <definedName name="_xlnm.Print_Area" localSheetId="3">Inversiones!$A$1:$K$35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5" i="32" l="1"/>
  <c r="M13" i="32"/>
  <c r="M11" i="32"/>
  <c r="K18" i="30" l="1"/>
  <c r="K19" i="30"/>
  <c r="K20" i="30"/>
  <c r="K21" i="30"/>
  <c r="K22" i="30"/>
  <c r="K23" i="30"/>
  <c r="K35" i="18" l="1"/>
  <c r="I35" i="18"/>
  <c r="F35" i="18"/>
  <c r="I34" i="18"/>
  <c r="G34" i="18"/>
  <c r="G33" i="18" s="1"/>
  <c r="C34" i="18"/>
  <c r="F34" i="18" s="1"/>
  <c r="J33" i="18"/>
  <c r="H33" i="18"/>
  <c r="E33" i="18"/>
  <c r="D33" i="18"/>
  <c r="C33" i="18"/>
  <c r="F33" i="18" s="1"/>
  <c r="B33" i="18"/>
  <c r="K32" i="18"/>
  <c r="I32" i="18"/>
  <c r="F32" i="18"/>
  <c r="J31" i="18"/>
  <c r="I31" i="18"/>
  <c r="H31" i="18"/>
  <c r="G31" i="18"/>
  <c r="E31" i="18"/>
  <c r="D31" i="18"/>
  <c r="K31" i="18" s="1"/>
  <c r="C31" i="18"/>
  <c r="F31" i="18" s="1"/>
  <c r="B31" i="18"/>
  <c r="K30" i="18"/>
  <c r="I30" i="18"/>
  <c r="F30" i="18"/>
  <c r="I29" i="18"/>
  <c r="G29" i="18"/>
  <c r="K29" i="18" s="1"/>
  <c r="F29" i="18"/>
  <c r="K28" i="18"/>
  <c r="I28" i="18"/>
  <c r="F28" i="18"/>
  <c r="I27" i="18"/>
  <c r="G27" i="18"/>
  <c r="G26" i="18" s="1"/>
  <c r="F27" i="18"/>
  <c r="J26" i="18"/>
  <c r="H26" i="18"/>
  <c r="I26" i="18" s="1"/>
  <c r="E26" i="18"/>
  <c r="D26" i="18"/>
  <c r="C26" i="18"/>
  <c r="B26" i="18"/>
  <c r="K25" i="18"/>
  <c r="I25" i="18"/>
  <c r="F25" i="18"/>
  <c r="K24" i="18"/>
  <c r="I24" i="18"/>
  <c r="F24" i="18"/>
  <c r="K23" i="18"/>
  <c r="I23" i="18"/>
  <c r="F23" i="18"/>
  <c r="I22" i="18"/>
  <c r="G22" i="18"/>
  <c r="K22" i="18" s="1"/>
  <c r="F22" i="18"/>
  <c r="J21" i="18"/>
  <c r="H21" i="18"/>
  <c r="I21" i="18" s="1"/>
  <c r="E21" i="18"/>
  <c r="D21" i="18"/>
  <c r="C21" i="18"/>
  <c r="F21" i="18" s="1"/>
  <c r="B21" i="18"/>
  <c r="K20" i="18"/>
  <c r="I20" i="18"/>
  <c r="F20" i="18"/>
  <c r="J19" i="18"/>
  <c r="H19" i="18"/>
  <c r="I19" i="18" s="1"/>
  <c r="G19" i="18"/>
  <c r="E19" i="18"/>
  <c r="D19" i="18"/>
  <c r="C19" i="18"/>
  <c r="F19" i="18" s="1"/>
  <c r="B19" i="18"/>
  <c r="I18" i="18"/>
  <c r="G18" i="18"/>
  <c r="K18" i="18" s="1"/>
  <c r="F18" i="18"/>
  <c r="J17" i="18"/>
  <c r="H17" i="18"/>
  <c r="I17" i="18" s="1"/>
  <c r="E17" i="18"/>
  <c r="F17" i="18" s="1"/>
  <c r="D17" i="18"/>
  <c r="C17" i="18"/>
  <c r="B17" i="18"/>
  <c r="K16" i="18"/>
  <c r="I16" i="18"/>
  <c r="F16" i="18"/>
  <c r="K15" i="18"/>
  <c r="I15" i="18"/>
  <c r="F15" i="18"/>
  <c r="K14" i="18"/>
  <c r="I14" i="18"/>
  <c r="F14" i="18"/>
  <c r="K13" i="18"/>
  <c r="I13" i="18"/>
  <c r="F13" i="18"/>
  <c r="I12" i="18"/>
  <c r="G12" i="18"/>
  <c r="K12" i="18" s="1"/>
  <c r="F12" i="18"/>
  <c r="K11" i="18"/>
  <c r="I11" i="18"/>
  <c r="F11" i="18"/>
  <c r="I10" i="18"/>
  <c r="G10" i="18"/>
  <c r="K10" i="18" s="1"/>
  <c r="F10" i="18"/>
  <c r="K9" i="18"/>
  <c r="I9" i="18"/>
  <c r="F9" i="18"/>
  <c r="K8" i="18"/>
  <c r="I8" i="18"/>
  <c r="F8" i="18"/>
  <c r="I7" i="18"/>
  <c r="G7" i="18"/>
  <c r="F7" i="18"/>
  <c r="K6" i="18"/>
  <c r="I6" i="18"/>
  <c r="F6" i="18"/>
  <c r="J5" i="18"/>
  <c r="H5" i="18"/>
  <c r="I5" i="18" s="1"/>
  <c r="E5" i="18"/>
  <c r="D5" i="18"/>
  <c r="C5" i="18"/>
  <c r="B5" i="18"/>
  <c r="B4" i="18" l="1"/>
  <c r="E4" i="18"/>
  <c r="K27" i="18"/>
  <c r="H4" i="18"/>
  <c r="G5" i="18"/>
  <c r="K5" i="18" s="1"/>
  <c r="K21" i="18"/>
  <c r="J4" i="18"/>
  <c r="K19" i="18"/>
  <c r="F26" i="18"/>
  <c r="I33" i="18"/>
  <c r="G17" i="18"/>
  <c r="G4" i="18" s="1"/>
  <c r="F5" i="18"/>
  <c r="G21" i="18"/>
  <c r="K26" i="18"/>
  <c r="K33" i="18"/>
  <c r="K17" i="18"/>
  <c r="C4" i="18"/>
  <c r="F4" i="18" s="1"/>
  <c r="K34" i="18"/>
  <c r="K7" i="18"/>
  <c r="D4" i="18"/>
  <c r="K4" i="18" l="1"/>
  <c r="I4" i="18"/>
  <c r="G7" i="30" l="1"/>
  <c r="G6" i="30"/>
  <c r="G15" i="30"/>
  <c r="G24" i="30"/>
  <c r="G22" i="30"/>
  <c r="G19" i="30"/>
  <c r="G16" i="30"/>
  <c r="G14" i="30"/>
  <c r="H15" i="32" l="1"/>
  <c r="G15" i="32"/>
  <c r="F15" i="32"/>
  <c r="D15" i="32"/>
  <c r="C15" i="32"/>
  <c r="B15" i="32"/>
  <c r="H15" i="33"/>
  <c r="G15" i="33"/>
  <c r="F15" i="33"/>
  <c r="D15" i="33"/>
  <c r="C15" i="33"/>
  <c r="B15" i="33"/>
  <c r="I34" i="30"/>
  <c r="F34" i="30"/>
  <c r="F33" i="30"/>
  <c r="F32" i="30"/>
  <c r="F28" i="30"/>
  <c r="F29" i="30"/>
  <c r="F30" i="30"/>
  <c r="F27" i="30"/>
  <c r="F19" i="30"/>
  <c r="F20" i="30"/>
  <c r="F21" i="30"/>
  <c r="F22" i="30"/>
  <c r="F23" i="30"/>
  <c r="F24" i="30"/>
  <c r="F25" i="30"/>
  <c r="F18" i="30"/>
  <c r="F16" i="30"/>
  <c r="L15" i="32" l="1"/>
  <c r="L15" i="33"/>
  <c r="J15" i="32"/>
  <c r="I15" i="32"/>
  <c r="E15" i="33"/>
  <c r="E15" i="32"/>
  <c r="F26" i="30"/>
  <c r="F12" i="30"/>
  <c r="F13" i="30"/>
  <c r="F14" i="30"/>
  <c r="F15" i="30"/>
  <c r="F11" i="30"/>
  <c r="F7" i="30"/>
  <c r="F8" i="30"/>
  <c r="F9" i="30"/>
  <c r="F6" i="30"/>
  <c r="J15" i="33" l="1"/>
  <c r="M15" i="33"/>
  <c r="K15" i="32"/>
  <c r="K15" i="33"/>
  <c r="I15" i="33"/>
  <c r="E10" i="30" l="1"/>
  <c r="E5" i="30"/>
  <c r="E31" i="30"/>
  <c r="E26" i="30"/>
  <c r="E17" i="30"/>
  <c r="E3" i="30" l="1"/>
  <c r="D13" i="32" l="1"/>
  <c r="D11" i="32" s="1"/>
  <c r="D13" i="33"/>
  <c r="D11" i="33" s="1"/>
  <c r="K33" i="30"/>
  <c r="K34" i="30"/>
  <c r="K32" i="30"/>
  <c r="I32" i="30"/>
  <c r="J31" i="30"/>
  <c r="H31" i="30"/>
  <c r="G31" i="30"/>
  <c r="D31" i="30"/>
  <c r="F31" i="30" s="1"/>
  <c r="C31" i="30"/>
  <c r="B31" i="30"/>
  <c r="K30" i="30"/>
  <c r="I30" i="30"/>
  <c r="K29" i="30"/>
  <c r="I29" i="30"/>
  <c r="K28" i="30"/>
  <c r="I28" i="30"/>
  <c r="K27" i="30"/>
  <c r="I27" i="30"/>
  <c r="J26" i="30"/>
  <c r="H26" i="30"/>
  <c r="G26" i="30"/>
  <c r="D26" i="30"/>
  <c r="C26" i="30"/>
  <c r="K25" i="30"/>
  <c r="I25" i="30"/>
  <c r="K24" i="30"/>
  <c r="I24" i="30"/>
  <c r="I23" i="30"/>
  <c r="I22" i="30"/>
  <c r="I21" i="30"/>
  <c r="I20" i="30"/>
  <c r="I19" i="30"/>
  <c r="I18" i="30"/>
  <c r="J17" i="30"/>
  <c r="H17" i="30"/>
  <c r="G17" i="30"/>
  <c r="D17" i="30"/>
  <c r="C17" i="30"/>
  <c r="F17" i="30" s="1"/>
  <c r="B17" i="30"/>
  <c r="K16" i="30"/>
  <c r="I16" i="30"/>
  <c r="K15" i="30"/>
  <c r="I15" i="30"/>
  <c r="K14" i="30"/>
  <c r="I14" i="30"/>
  <c r="K13" i="30"/>
  <c r="I13" i="30"/>
  <c r="K12" i="30"/>
  <c r="I12" i="30"/>
  <c r="K11" i="30"/>
  <c r="I11" i="30"/>
  <c r="J10" i="30"/>
  <c r="H10" i="30"/>
  <c r="G10" i="30"/>
  <c r="D10" i="30"/>
  <c r="C10" i="30"/>
  <c r="F10" i="30" s="1"/>
  <c r="B10" i="30"/>
  <c r="K9" i="30"/>
  <c r="I9" i="30"/>
  <c r="K8" i="30"/>
  <c r="I8" i="30"/>
  <c r="K7" i="30"/>
  <c r="I7" i="30"/>
  <c r="K6" i="30"/>
  <c r="I6" i="30"/>
  <c r="J5" i="30"/>
  <c r="H5" i="30"/>
  <c r="G5" i="30"/>
  <c r="D5" i="30"/>
  <c r="C5" i="30"/>
  <c r="B5" i="30"/>
  <c r="F5" i="30" l="1"/>
  <c r="F3" i="30"/>
  <c r="I26" i="30"/>
  <c r="K31" i="30"/>
  <c r="I31" i="30"/>
  <c r="K26" i="30"/>
  <c r="K5" i="30"/>
  <c r="B3" i="30"/>
  <c r="K17" i="30"/>
  <c r="I17" i="30"/>
  <c r="C3" i="30"/>
  <c r="G3" i="30"/>
  <c r="K10" i="30"/>
  <c r="I10" i="30"/>
  <c r="D3" i="30"/>
  <c r="J3" i="30"/>
  <c r="H3" i="30"/>
  <c r="I5" i="30"/>
  <c r="K3" i="30" l="1"/>
  <c r="B13" i="32"/>
  <c r="B13" i="33"/>
  <c r="C13" i="32"/>
  <c r="C13" i="33"/>
  <c r="G13" i="33"/>
  <c r="I3" i="30"/>
  <c r="G13" i="32"/>
  <c r="H13" i="33"/>
  <c r="H13" i="32"/>
  <c r="F13" i="32"/>
  <c r="F13" i="33"/>
  <c r="H11" i="33" l="1"/>
  <c r="G11" i="32"/>
  <c r="J13" i="32"/>
  <c r="I13" i="32"/>
  <c r="F11" i="32"/>
  <c r="L13" i="33"/>
  <c r="C11" i="33"/>
  <c r="I13" i="33"/>
  <c r="F11" i="33"/>
  <c r="L13" i="32"/>
  <c r="C11" i="32"/>
  <c r="E13" i="33"/>
  <c r="B11" i="33"/>
  <c r="J13" i="33"/>
  <c r="G11" i="33"/>
  <c r="E13" i="32"/>
  <c r="B11" i="32"/>
  <c r="K13" i="32"/>
  <c r="H11" i="32"/>
  <c r="L11" i="32" l="1"/>
  <c r="I11" i="32"/>
  <c r="J11" i="32"/>
  <c r="E11" i="32"/>
  <c r="K11" i="32"/>
  <c r="L11" i="33"/>
  <c r="M13" i="33"/>
  <c r="E11" i="33"/>
  <c r="M11" i="33" s="1"/>
  <c r="K13" i="33"/>
  <c r="I11" i="33" l="1"/>
  <c r="J11" i="33"/>
  <c r="K11" i="33"/>
</calcChain>
</file>

<file path=xl/sharedStrings.xml><?xml version="1.0" encoding="utf-8"?>
<sst xmlns="http://schemas.openxmlformats.org/spreadsheetml/2006/main" count="137" uniqueCount="114">
  <si>
    <t>PRESUPUESTO</t>
  </si>
  <si>
    <t>EJECUCIÓN</t>
  </si>
  <si>
    <t>Funcionamiento</t>
  </si>
  <si>
    <t>Inversiones</t>
  </si>
  <si>
    <t xml:space="preserve">   </t>
  </si>
  <si>
    <t xml:space="preserve">  </t>
  </si>
  <si>
    <t xml:space="preserve"> </t>
  </si>
  <si>
    <t>Objeto de Gasto</t>
  </si>
  <si>
    <t>Presupuesto Ley              1</t>
  </si>
  <si>
    <t>TOTAL</t>
  </si>
  <si>
    <t>Servicios Personales</t>
  </si>
  <si>
    <t xml:space="preserve">   Sueldos</t>
  </si>
  <si>
    <t xml:space="preserve">   Gastos de representación</t>
  </si>
  <si>
    <t xml:space="preserve">   XIII mes</t>
  </si>
  <si>
    <t xml:space="preserve">   Contribuciones a la seguridad social</t>
  </si>
  <si>
    <t>Servicios No Personales</t>
  </si>
  <si>
    <t xml:space="preserve">   Alquileres</t>
  </si>
  <si>
    <t xml:space="preserve">   Servicios básicos</t>
  </si>
  <si>
    <t xml:space="preserve">   Viáticos de personas</t>
  </si>
  <si>
    <t xml:space="preserve">   Transporte de personas y bienes </t>
  </si>
  <si>
    <t xml:space="preserve">   Servicios comerciales y financieros</t>
  </si>
  <si>
    <t xml:space="preserve">   Mantenimiento y reparación</t>
  </si>
  <si>
    <t>Materiales y Suministros</t>
  </si>
  <si>
    <t xml:space="preserve">   Alimentos y bebidas </t>
  </si>
  <si>
    <t xml:space="preserve">   Combustibles y Lubricantes  </t>
  </si>
  <si>
    <t xml:space="preserve">   Productos de Papel y Cartón  </t>
  </si>
  <si>
    <t xml:space="preserve">   Productos Químicos y Conexos</t>
  </si>
  <si>
    <t xml:space="preserve">   Materiales para construcción </t>
  </si>
  <si>
    <t xml:space="preserve">   Productos varios  </t>
  </si>
  <si>
    <t xml:space="preserve">   Útiles y materiales diversos</t>
  </si>
  <si>
    <t xml:space="preserve">   Repuestos  </t>
  </si>
  <si>
    <t>Maquinaria y Equipo</t>
  </si>
  <si>
    <t xml:space="preserve">   Terrestre</t>
  </si>
  <si>
    <t xml:space="preserve">    Educacional y Recreativo</t>
  </si>
  <si>
    <t xml:space="preserve">    Mobiliario</t>
  </si>
  <si>
    <t xml:space="preserve">    Maquinaria y Equipos Varios</t>
  </si>
  <si>
    <t>Transferencias Corrientes</t>
  </si>
  <si>
    <t xml:space="preserve">    Bonificación por antigüedad</t>
  </si>
  <si>
    <t xml:space="preserve">   Subsidios Culturales y Científicos</t>
  </si>
  <si>
    <t>Programas y Proyectos de Inversión</t>
  </si>
  <si>
    <t>Presupuesto Ley                               1</t>
  </si>
  <si>
    <t>Investigación Científica</t>
  </si>
  <si>
    <t>INDICASAT</t>
  </si>
  <si>
    <t>Apoyo y Promo. de Actividades de Inv.</t>
  </si>
  <si>
    <t>Const. Estación Científica en el Parque</t>
  </si>
  <si>
    <t>Ampliación investigación científica</t>
  </si>
  <si>
    <t>Insercion de Talento Especializado</t>
  </si>
  <si>
    <t>Plataforma de Acceso a Bibliografico Cient.</t>
  </si>
  <si>
    <t>Sistema Nacional de Investigación</t>
  </si>
  <si>
    <t>Ampliación de la Capacidad Instalada de I+D</t>
  </si>
  <si>
    <t>Centro de Vacunas y Biofármacos</t>
  </si>
  <si>
    <t>Implemetación, I+D regiones y territorios</t>
  </si>
  <si>
    <t xml:space="preserve">Centro cientificos y tecnológicos de regiones </t>
  </si>
  <si>
    <t>Obras, Remodelaciones y Equipa.</t>
  </si>
  <si>
    <t>Ampliación y adecuación de Infraest.</t>
  </si>
  <si>
    <t>Metrología y Normas</t>
  </si>
  <si>
    <t>Innovación y Competitividad</t>
  </si>
  <si>
    <t>Innovación Empresarial</t>
  </si>
  <si>
    <t>Fortalecimiento del Sistema Nacional de Ciencia</t>
  </si>
  <si>
    <t>Desarrollo del Plan Estratégico de C y T</t>
  </si>
  <si>
    <t>Implementación del Instituto Nacional de Investigación Cientifica avanzada en Tecnología de Información y Comunicación</t>
  </si>
  <si>
    <t>Estímulos e Investigaciones</t>
  </si>
  <si>
    <t>En el aprendizaje de las ciencias</t>
  </si>
  <si>
    <t>Desarrollo Centro Intl. De Estudios Políticos y Soc</t>
  </si>
  <si>
    <t>Mejoram. del Uso Innovador de la tec. en la Educ.</t>
  </si>
  <si>
    <t>Implementación del Centro de Inv. Capacitcaión y Prod en Ambiente Controlado</t>
  </si>
  <si>
    <t>Desarrollo Tecnológico</t>
  </si>
  <si>
    <t>Programa de Infoplazas</t>
  </si>
  <si>
    <t>3692/OC-PN Inclusión Social y Productividad</t>
  </si>
  <si>
    <t xml:space="preserve">    Capacitación y Estudios</t>
  </si>
  <si>
    <t xml:space="preserve">  Anexo No. 4  Ejecución del Presupuesto de Funcionamiento al  31 de agosto del  2022 (en balboas)</t>
  </si>
  <si>
    <t xml:space="preserve"> Anexo No. 5  Ejecución del Presupuesto de Inversiones según programa al 31 de agosto del 2022 (en balboas)</t>
  </si>
  <si>
    <t>En base al Presupuesto Modificado</t>
  </si>
  <si>
    <t>Tipo de Presupuesto</t>
  </si>
  <si>
    <t>% DE EJECUCION</t>
  </si>
  <si>
    <t>SALDOS</t>
  </si>
  <si>
    <t>Totales:</t>
  </si>
  <si>
    <t>En base al Presupuesto Asignado</t>
  </si>
  <si>
    <t>Modificado                        1</t>
  </si>
  <si>
    <t>Comprometido              5</t>
  </si>
  <si>
    <t>Devengado                       6</t>
  </si>
  <si>
    <t>Pagado                     7</t>
  </si>
  <si>
    <t>Asignado   2</t>
  </si>
  <si>
    <t>Contención                                           3</t>
  </si>
  <si>
    <t>Comprometido                    8 = (5/4 *100)</t>
  </si>
  <si>
    <t>Pagado                10 =         (7/2 *100)</t>
  </si>
  <si>
    <t>Devengado                  9 = (6/2 *100)</t>
  </si>
  <si>
    <t>a la Fecha     11=2-5</t>
  </si>
  <si>
    <t>Anual         12=4-5</t>
  </si>
  <si>
    <t>Devengado                  9 = (6/4 *100)</t>
  </si>
  <si>
    <t>Pagado                10 =         (7/4 *100)</t>
  </si>
  <si>
    <t>Comprometido                    8 = (5/2 *100)</t>
  </si>
  <si>
    <t>Presupuesto Modificado               2</t>
  </si>
  <si>
    <t>Asignado a la Fecha                 3</t>
  </si>
  <si>
    <t>Contención de Gasto      4</t>
  </si>
  <si>
    <t>Comprometido a la Fecha                 6</t>
  </si>
  <si>
    <t>Devengado         7</t>
  </si>
  <si>
    <t>Pagado                        9</t>
  </si>
  <si>
    <t>% de Devengado          8 = (7/3 * 100)</t>
  </si>
  <si>
    <t xml:space="preserve">Nuevo Modificado 4=(1-3)     </t>
  </si>
  <si>
    <t xml:space="preserve">Contención  3                                           </t>
  </si>
  <si>
    <t>Nuevo Modificado   4=(1-3)</t>
  </si>
  <si>
    <t>Nuevo Presupuesto Modificado     5= (2-4)</t>
  </si>
  <si>
    <t>Contención    4</t>
  </si>
  <si>
    <t>Nuevo Presupuesto Modificado      5 (2-4)</t>
  </si>
  <si>
    <t>Devengado                7</t>
  </si>
  <si>
    <t>% de Devengado         8=(7/3*100)</t>
  </si>
  <si>
    <t>Innov para la Inclusion Soc.y Product.  Externo</t>
  </si>
  <si>
    <t>Innov para la Inclusion Soc.y Product.  Local</t>
  </si>
  <si>
    <t>Comprometido a la Fecha                    6</t>
  </si>
  <si>
    <t>Real Disponible             10 = 3-4-6</t>
  </si>
  <si>
    <t>Real Disponible              10 = 3-4-6</t>
  </si>
  <si>
    <t xml:space="preserve">  Ejecución Presupuestaria de SENACYT al 31 de agosto del 2022 (en balboas)</t>
  </si>
  <si>
    <t xml:space="preserve"> Ejecución Presupuestaria de SENACYT al 31 de agosto del 2022 (en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</si>
</sst>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#,##0.0"/>
    <numFmt numFmtId="166" formatCode="0.0"/>
  </numFmts>
  <fonts count="15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color rgb="FFFF0000"/>
      <name val="Arial"/>
      <family val="2"/>
    </font>
    <font>
      <sz val="12"/>
      <name val="Arial"/>
      <family val="2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00">
    <xf numFmtId="0" fontId="0" fillId="0" borderId="0" xfId="0"/>
    <xf numFmtId="3" fontId="0" fillId="0" borderId="0" xfId="0" applyNumberFormat="1"/>
    <xf numFmtId="0" fontId="0" fillId="0" borderId="13" xfId="0" applyBorder="1"/>
    <xf numFmtId="0" fontId="1" fillId="0" borderId="0" xfId="0" applyFont="1"/>
    <xf numFmtId="0" fontId="0" fillId="2" borderId="11" xfId="0" applyFill="1" applyBorder="1" applyAlignment="1">
      <alignment horizontal="center" vertical="center" wrapText="1"/>
    </xf>
    <xf numFmtId="0" fontId="3" fillId="0" borderId="0" xfId="0" applyFont="1"/>
    <xf numFmtId="0" fontId="5" fillId="0" borderId="0" xfId="0" applyFont="1"/>
    <xf numFmtId="0" fontId="0" fillId="2" borderId="0" xfId="0" applyFill="1"/>
    <xf numFmtId="0" fontId="6" fillId="2" borderId="19" xfId="0" applyFont="1" applyFill="1" applyBorder="1"/>
    <xf numFmtId="3" fontId="7" fillId="0" borderId="22" xfId="0" applyNumberFormat="1" applyFont="1" applyBorder="1"/>
    <xf numFmtId="3" fontId="7" fillId="0" borderId="2" xfId="0" applyNumberFormat="1" applyFont="1" applyBorder="1"/>
    <xf numFmtId="3" fontId="8" fillId="0" borderId="2" xfId="0" applyNumberFormat="1" applyFont="1" applyBorder="1" applyAlignment="1">
      <alignment horizontal="center"/>
    </xf>
    <xf numFmtId="3" fontId="7" fillId="0" borderId="19" xfId="0" applyNumberFormat="1" applyFont="1" applyBorder="1"/>
    <xf numFmtId="4" fontId="0" fillId="0" borderId="0" xfId="0" applyNumberFormat="1"/>
    <xf numFmtId="3" fontId="5" fillId="0" borderId="0" xfId="0" applyNumberFormat="1" applyFont="1"/>
    <xf numFmtId="0" fontId="6" fillId="0" borderId="0" xfId="0" applyFont="1"/>
    <xf numFmtId="0" fontId="6" fillId="2" borderId="0" xfId="0" applyFont="1" applyFill="1"/>
    <xf numFmtId="0" fontId="6" fillId="0" borderId="12" xfId="0" applyFont="1" applyBorder="1"/>
    <xf numFmtId="0" fontId="6" fillId="0" borderId="14" xfId="0" applyFont="1" applyBorder="1"/>
    <xf numFmtId="0" fontId="6" fillId="0" borderId="13" xfId="0" applyFont="1" applyBorder="1"/>
    <xf numFmtId="0" fontId="6" fillId="0" borderId="18" xfId="0" applyFont="1" applyBorder="1"/>
    <xf numFmtId="0" fontId="10" fillId="0" borderId="20" xfId="0" applyFont="1" applyBorder="1"/>
    <xf numFmtId="0" fontId="6" fillId="0" borderId="12" xfId="0" applyFont="1" applyBorder="1" applyAlignment="1">
      <alignment wrapText="1"/>
    </xf>
    <xf numFmtId="0" fontId="10" fillId="0" borderId="31" xfId="0" applyFont="1" applyBorder="1"/>
    <xf numFmtId="0" fontId="6" fillId="0" borderId="18" xfId="0" applyFont="1" applyBorder="1" applyAlignment="1">
      <alignment wrapText="1"/>
    </xf>
    <xf numFmtId="0" fontId="6" fillId="0" borderId="14" xfId="0" applyFont="1" applyBorder="1" applyAlignment="1">
      <alignment wrapText="1"/>
    </xf>
    <xf numFmtId="3" fontId="10" fillId="0" borderId="1" xfId="0" applyNumberFormat="1" applyFont="1" applyBorder="1" applyAlignment="1">
      <alignment vertical="center"/>
    </xf>
    <xf numFmtId="3" fontId="11" fillId="0" borderId="7" xfId="0" applyNumberFormat="1" applyFont="1" applyBorder="1" applyAlignment="1">
      <alignment vertical="center"/>
    </xf>
    <xf numFmtId="3" fontId="11" fillId="0" borderId="3" xfId="0" applyNumberFormat="1" applyFont="1" applyBorder="1" applyAlignment="1">
      <alignment vertical="center"/>
    </xf>
    <xf numFmtId="3" fontId="11" fillId="0" borderId="2" xfId="0" applyNumberFormat="1" applyFont="1" applyBorder="1" applyAlignment="1">
      <alignment vertical="center"/>
    </xf>
    <xf numFmtId="3" fontId="11" fillId="0" borderId="6" xfId="0" applyNumberFormat="1" applyFont="1" applyBorder="1" applyAlignment="1">
      <alignment vertical="center"/>
    </xf>
    <xf numFmtId="3" fontId="10" fillId="0" borderId="1" xfId="0" applyNumberFormat="1" applyFont="1" applyBorder="1" applyAlignment="1">
      <alignment horizontal="center" vertical="center"/>
    </xf>
    <xf numFmtId="3" fontId="11" fillId="0" borderId="3" xfId="0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3" fontId="11" fillId="0" borderId="6" xfId="0" applyNumberFormat="1" applyFont="1" applyBorder="1" applyAlignment="1">
      <alignment horizontal="center" vertical="center"/>
    </xf>
    <xf numFmtId="3" fontId="10" fillId="0" borderId="32" xfId="0" applyNumberFormat="1" applyFont="1" applyBorder="1" applyAlignment="1">
      <alignment vertical="center"/>
    </xf>
    <xf numFmtId="3" fontId="10" fillId="0" borderId="28" xfId="0" applyNumberFormat="1" applyFont="1" applyBorder="1" applyAlignment="1">
      <alignment vertical="center"/>
    </xf>
    <xf numFmtId="3" fontId="11" fillId="0" borderId="19" xfId="0" applyNumberFormat="1" applyFont="1" applyBorder="1" applyAlignment="1">
      <alignment vertical="center"/>
    </xf>
    <xf numFmtId="3" fontId="10" fillId="2" borderId="1" xfId="0" applyNumberFormat="1" applyFont="1" applyFill="1" applyBorder="1" applyAlignment="1">
      <alignment vertical="center"/>
    </xf>
    <xf numFmtId="3" fontId="11" fillId="0" borderId="8" xfId="0" applyNumberFormat="1" applyFont="1" applyBorder="1" applyAlignment="1">
      <alignment vertical="center"/>
    </xf>
    <xf numFmtId="3" fontId="11" fillId="0" borderId="36" xfId="0" applyNumberFormat="1" applyFont="1" applyBorder="1" applyAlignment="1">
      <alignment vertical="center"/>
    </xf>
    <xf numFmtId="3" fontId="11" fillId="0" borderId="27" xfId="0" applyNumberFormat="1" applyFont="1" applyBorder="1" applyAlignment="1">
      <alignment vertical="center"/>
    </xf>
    <xf numFmtId="3" fontId="10" fillId="0" borderId="9" xfId="0" applyNumberFormat="1" applyFont="1" applyBorder="1" applyAlignment="1">
      <alignment vertical="center"/>
    </xf>
    <xf numFmtId="3" fontId="10" fillId="0" borderId="33" xfId="0" applyNumberFormat="1" applyFont="1" applyBorder="1" applyAlignment="1">
      <alignment vertical="center"/>
    </xf>
    <xf numFmtId="3" fontId="11" fillId="0" borderId="23" xfId="0" applyNumberFormat="1" applyFont="1" applyBorder="1" applyAlignment="1">
      <alignment vertical="center"/>
    </xf>
    <xf numFmtId="3" fontId="11" fillId="0" borderId="4" xfId="0" applyNumberFormat="1" applyFont="1" applyBorder="1" applyAlignment="1">
      <alignment vertical="center"/>
    </xf>
    <xf numFmtId="3" fontId="11" fillId="0" borderId="22" xfId="0" applyNumberFormat="1" applyFont="1" applyBorder="1" applyAlignment="1">
      <alignment vertical="center"/>
    </xf>
    <xf numFmtId="3" fontId="10" fillId="0" borderId="39" xfId="0" applyNumberFormat="1" applyFont="1" applyBorder="1" applyAlignment="1">
      <alignment vertical="center"/>
    </xf>
    <xf numFmtId="3" fontId="11" fillId="0" borderId="34" xfId="0" applyNumberFormat="1" applyFont="1" applyBorder="1" applyAlignment="1">
      <alignment vertical="center"/>
    </xf>
    <xf numFmtId="3" fontId="11" fillId="2" borderId="40" xfId="0" applyNumberFormat="1" applyFont="1" applyFill="1" applyBorder="1" applyAlignment="1">
      <alignment vertical="center"/>
    </xf>
    <xf numFmtId="0" fontId="10" fillId="0" borderId="20" xfId="0" applyFont="1" applyBorder="1" applyAlignment="1">
      <alignment horizontal="center"/>
    </xf>
    <xf numFmtId="0" fontId="12" fillId="0" borderId="0" xfId="0" applyFont="1"/>
    <xf numFmtId="3" fontId="11" fillId="0" borderId="0" xfId="0" applyNumberFormat="1" applyFont="1" applyAlignment="1">
      <alignment vertical="center"/>
    </xf>
    <xf numFmtId="3" fontId="8" fillId="0" borderId="2" xfId="0" applyNumberFormat="1" applyFont="1" applyBorder="1"/>
    <xf numFmtId="3" fontId="8" fillId="0" borderId="27" xfId="0" applyNumberFormat="1" applyFont="1" applyBorder="1"/>
    <xf numFmtId="0" fontId="7" fillId="0" borderId="6" xfId="0" applyFont="1" applyBorder="1"/>
    <xf numFmtId="3" fontId="7" fillId="0" borderId="6" xfId="0" applyNumberFormat="1" applyFont="1" applyBorder="1"/>
    <xf numFmtId="3" fontId="8" fillId="0" borderId="6" xfId="0" applyNumberFormat="1" applyFont="1" applyBorder="1"/>
    <xf numFmtId="3" fontId="8" fillId="0" borderId="6" xfId="0" applyNumberFormat="1" applyFont="1" applyBorder="1" applyAlignment="1">
      <alignment horizontal="center"/>
    </xf>
    <xf numFmtId="3" fontId="7" fillId="0" borderId="2" xfId="0" applyNumberFormat="1" applyFont="1" applyBorder="1" applyAlignment="1">
      <alignment horizontal="center"/>
    </xf>
    <xf numFmtId="0" fontId="8" fillId="2" borderId="31" xfId="0" applyFont="1" applyFill="1" applyBorder="1"/>
    <xf numFmtId="3" fontId="8" fillId="2" borderId="1" xfId="0" applyNumberFormat="1" applyFont="1" applyFill="1" applyBorder="1"/>
    <xf numFmtId="3" fontId="8" fillId="2" borderId="1" xfId="0" applyNumberFormat="1" applyFont="1" applyFill="1" applyBorder="1" applyAlignment="1">
      <alignment horizontal="center"/>
    </xf>
    <xf numFmtId="0" fontId="0" fillId="2" borderId="18" xfId="0" applyFill="1" applyBorder="1"/>
    <xf numFmtId="3" fontId="7" fillId="2" borderId="2" xfId="0" applyNumberFormat="1" applyFont="1" applyFill="1" applyBorder="1"/>
    <xf numFmtId="3" fontId="7" fillId="2" borderId="2" xfId="0" applyNumberFormat="1" applyFont="1" applyFill="1" applyBorder="1" applyAlignment="1">
      <alignment horizontal="center"/>
    </xf>
    <xf numFmtId="3" fontId="7" fillId="2" borderId="19" xfId="0" applyNumberFormat="1" applyFont="1" applyFill="1" applyBorder="1"/>
    <xf numFmtId="0" fontId="3" fillId="2" borderId="18" xfId="0" applyFont="1" applyFill="1" applyBorder="1"/>
    <xf numFmtId="0" fontId="0" fillId="0" borderId="24" xfId="0" applyBorder="1"/>
    <xf numFmtId="3" fontId="7" fillId="0" borderId="3" xfId="0" applyNumberFormat="1" applyFont="1" applyBorder="1"/>
    <xf numFmtId="3" fontId="7" fillId="2" borderId="3" xfId="0" applyNumberFormat="1" applyFont="1" applyFill="1" applyBorder="1" applyAlignment="1">
      <alignment horizontal="center"/>
    </xf>
    <xf numFmtId="3" fontId="8" fillId="0" borderId="1" xfId="0" applyNumberFormat="1" applyFont="1" applyBorder="1"/>
    <xf numFmtId="3" fontId="8" fillId="0" borderId="28" xfId="0" applyNumberFormat="1" applyFont="1" applyBorder="1"/>
    <xf numFmtId="3" fontId="7" fillId="2" borderId="6" xfId="0" applyNumberFormat="1" applyFont="1" applyFill="1" applyBorder="1" applyAlignment="1">
      <alignment horizontal="center"/>
    </xf>
    <xf numFmtId="3" fontId="7" fillId="0" borderId="0" xfId="0" applyNumberFormat="1" applyFont="1"/>
    <xf numFmtId="0" fontId="0" fillId="0" borderId="0" xfId="0" applyAlignment="1">
      <alignment wrapText="1"/>
    </xf>
    <xf numFmtId="0" fontId="7" fillId="2" borderId="44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18" xfId="0" applyFont="1" applyBorder="1"/>
    <xf numFmtId="0" fontId="7" fillId="0" borderId="12" xfId="0" applyFont="1" applyBorder="1"/>
    <xf numFmtId="0" fontId="7" fillId="0" borderId="2" xfId="0" applyFont="1" applyBorder="1" applyAlignment="1">
      <alignment vertical="center" wrapText="1"/>
    </xf>
    <xf numFmtId="0" fontId="7" fillId="0" borderId="19" xfId="0" applyFont="1" applyBorder="1"/>
    <xf numFmtId="0" fontId="7" fillId="0" borderId="20" xfId="0" applyFont="1" applyBorder="1"/>
    <xf numFmtId="0" fontId="7" fillId="0" borderId="7" xfId="0" applyFont="1" applyBorder="1"/>
    <xf numFmtId="0" fontId="7" fillId="0" borderId="27" xfId="0" applyFont="1" applyBorder="1"/>
    <xf numFmtId="0" fontId="7" fillId="0" borderId="0" xfId="0" applyFont="1"/>
    <xf numFmtId="0" fontId="7" fillId="0" borderId="2" xfId="0" applyFont="1" applyBorder="1"/>
    <xf numFmtId="0" fontId="0" fillId="0" borderId="39" xfId="0" applyBorder="1"/>
    <xf numFmtId="0" fontId="7" fillId="0" borderId="33" xfId="0" applyFont="1" applyBorder="1"/>
    <xf numFmtId="0" fontId="2" fillId="0" borderId="18" xfId="0" applyFont="1" applyBorder="1" applyAlignment="1">
      <alignment horizontal="center"/>
    </xf>
    <xf numFmtId="3" fontId="8" fillId="0" borderId="12" xfId="0" applyNumberFormat="1" applyFont="1" applyBorder="1" applyAlignment="1">
      <alignment horizontal="center"/>
    </xf>
    <xf numFmtId="3" fontId="8" fillId="0" borderId="19" xfId="0" applyNumberFormat="1" applyFont="1" applyBorder="1" applyAlignment="1">
      <alignment horizontal="center"/>
    </xf>
    <xf numFmtId="165" fontId="8" fillId="0" borderId="7" xfId="0" applyNumberFormat="1" applyFont="1" applyBorder="1" applyAlignment="1">
      <alignment horizontal="center"/>
    </xf>
    <xf numFmtId="165" fontId="8" fillId="0" borderId="2" xfId="0" applyNumberFormat="1" applyFont="1" applyBorder="1" applyAlignment="1">
      <alignment horizontal="center"/>
    </xf>
    <xf numFmtId="166" fontId="8" fillId="0" borderId="36" xfId="0" applyNumberFormat="1" applyFont="1" applyBorder="1" applyAlignment="1">
      <alignment horizontal="center"/>
    </xf>
    <xf numFmtId="3" fontId="8" fillId="0" borderId="12" xfId="0" applyNumberFormat="1" applyFont="1" applyBorder="1"/>
    <xf numFmtId="3" fontId="8" fillId="0" borderId="19" xfId="0" applyNumberFormat="1" applyFont="1" applyBorder="1"/>
    <xf numFmtId="0" fontId="13" fillId="0" borderId="18" xfId="0" applyFont="1" applyBorder="1"/>
    <xf numFmtId="3" fontId="7" fillId="0" borderId="12" xfId="0" applyNumberFormat="1" applyFont="1" applyBorder="1"/>
    <xf numFmtId="3" fontId="7" fillId="0" borderId="2" xfId="0" applyNumberFormat="1" applyFont="1" applyBorder="1" applyAlignment="1">
      <alignment horizontal="right"/>
    </xf>
    <xf numFmtId="3" fontId="7" fillId="0" borderId="19" xfId="0" applyNumberFormat="1" applyFont="1" applyBorder="1" applyAlignment="1">
      <alignment horizontal="right"/>
    </xf>
    <xf numFmtId="165" fontId="7" fillId="0" borderId="7" xfId="0" applyNumberFormat="1" applyFont="1" applyBorder="1" applyAlignment="1">
      <alignment horizontal="center"/>
    </xf>
    <xf numFmtId="3" fontId="7" fillId="0" borderId="0" xfId="0" applyNumberFormat="1" applyFont="1" applyAlignment="1">
      <alignment horizontal="center"/>
    </xf>
    <xf numFmtId="0" fontId="7" fillId="0" borderId="21" xfId="0" applyFont="1" applyBorder="1"/>
    <xf numFmtId="0" fontId="7" fillId="0" borderId="13" xfId="0" applyFont="1" applyBorder="1"/>
    <xf numFmtId="4" fontId="7" fillId="0" borderId="6" xfId="0" applyNumberFormat="1" applyFont="1" applyBorder="1"/>
    <xf numFmtId="4" fontId="7" fillId="0" borderId="13" xfId="0" applyNumberFormat="1" applyFont="1" applyBorder="1"/>
    <xf numFmtId="3" fontId="7" fillId="0" borderId="6" xfId="0" applyNumberFormat="1" applyFont="1" applyBorder="1" applyAlignment="1">
      <alignment horizontal="center"/>
    </xf>
    <xf numFmtId="3" fontId="7" fillId="0" borderId="30" xfId="0" applyNumberFormat="1" applyFont="1" applyBorder="1" applyAlignment="1">
      <alignment horizontal="center"/>
    </xf>
    <xf numFmtId="4" fontId="7" fillId="0" borderId="23" xfId="0" applyNumberFormat="1" applyFont="1" applyBorder="1"/>
    <xf numFmtId="0" fontId="0" fillId="0" borderId="40" xfId="0" applyBorder="1"/>
    <xf numFmtId="0" fontId="0" fillId="0" borderId="22" xfId="0" applyBorder="1"/>
    <xf numFmtId="0" fontId="7" fillId="0" borderId="1" xfId="0" applyFont="1" applyBorder="1" applyAlignment="1">
      <alignment vertical="center" wrapText="1"/>
    </xf>
    <xf numFmtId="0" fontId="7" fillId="2" borderId="47" xfId="0" applyFont="1" applyFill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/>
    </xf>
    <xf numFmtId="166" fontId="7" fillId="0" borderId="36" xfId="0" applyNumberFormat="1" applyFont="1" applyBorder="1" applyAlignment="1">
      <alignment horizontal="center"/>
    </xf>
    <xf numFmtId="3" fontId="10" fillId="0" borderId="20" xfId="0" applyNumberFormat="1" applyFont="1" applyBorder="1" applyAlignment="1">
      <alignment vertical="center"/>
    </xf>
    <xf numFmtId="3" fontId="11" fillId="0" borderId="18" xfId="0" applyNumberFormat="1" applyFont="1" applyBorder="1" applyAlignment="1">
      <alignment vertical="center"/>
    </xf>
    <xf numFmtId="3" fontId="10" fillId="2" borderId="9" xfId="0" applyNumberFormat="1" applyFont="1" applyFill="1" applyBorder="1" applyAlignment="1">
      <alignment vertical="center"/>
    </xf>
    <xf numFmtId="3" fontId="10" fillId="2" borderId="20" xfId="0" applyNumberFormat="1" applyFont="1" applyFill="1" applyBorder="1" applyAlignment="1">
      <alignment vertical="center"/>
    </xf>
    <xf numFmtId="3" fontId="10" fillId="2" borderId="39" xfId="0" applyNumberFormat="1" applyFont="1" applyFill="1" applyBorder="1" applyAlignment="1">
      <alignment vertical="center"/>
    </xf>
    <xf numFmtId="3" fontId="11" fillId="0" borderId="14" xfId="0" applyNumberFormat="1" applyFont="1" applyBorder="1" applyAlignment="1">
      <alignment vertical="center"/>
    </xf>
    <xf numFmtId="3" fontId="11" fillId="0" borderId="5" xfId="0" applyNumberFormat="1" applyFont="1" applyBorder="1" applyAlignment="1">
      <alignment vertical="center"/>
    </xf>
    <xf numFmtId="3" fontId="11" fillId="0" borderId="29" xfId="0" applyNumberFormat="1" applyFont="1" applyBorder="1" applyAlignment="1">
      <alignment vertical="center"/>
    </xf>
    <xf numFmtId="3" fontId="11" fillId="2" borderId="3" xfId="0" applyNumberFormat="1" applyFont="1" applyFill="1" applyBorder="1" applyAlignment="1">
      <alignment vertical="center"/>
    </xf>
    <xf numFmtId="3" fontId="10" fillId="0" borderId="19" xfId="0" applyNumberFormat="1" applyFont="1" applyBorder="1" applyAlignment="1">
      <alignment vertical="center"/>
    </xf>
    <xf numFmtId="3" fontId="11" fillId="2" borderId="2" xfId="0" applyNumberFormat="1" applyFont="1" applyFill="1" applyBorder="1" applyAlignment="1">
      <alignment vertical="center"/>
    </xf>
    <xf numFmtId="3" fontId="11" fillId="0" borderId="12" xfId="0" applyNumberFormat="1" applyFont="1" applyBorder="1" applyAlignment="1">
      <alignment vertical="center"/>
    </xf>
    <xf numFmtId="3" fontId="10" fillId="0" borderId="29" xfId="0" applyNumberFormat="1" applyFont="1" applyBorder="1" applyAlignment="1">
      <alignment vertical="center"/>
    </xf>
    <xf numFmtId="3" fontId="11" fillId="0" borderId="40" xfId="0" applyNumberFormat="1" applyFont="1" applyBorder="1" applyAlignment="1">
      <alignment vertical="center"/>
    </xf>
    <xf numFmtId="3" fontId="11" fillId="0" borderId="13" xfId="0" applyNumberFormat="1" applyFont="1" applyBorder="1" applyAlignment="1">
      <alignment vertical="center"/>
    </xf>
    <xf numFmtId="0" fontId="13" fillId="2" borderId="18" xfId="0" applyFont="1" applyFill="1" applyBorder="1"/>
    <xf numFmtId="3" fontId="7" fillId="2" borderId="12" xfId="0" applyNumberFormat="1" applyFont="1" applyFill="1" applyBorder="1"/>
    <xf numFmtId="3" fontId="7" fillId="2" borderId="2" xfId="0" applyNumberFormat="1" applyFont="1" applyFill="1" applyBorder="1" applyAlignment="1">
      <alignment horizontal="right"/>
    </xf>
    <xf numFmtId="3" fontId="7" fillId="2" borderId="27" xfId="0" applyNumberFormat="1" applyFont="1" applyFill="1" applyBorder="1" applyAlignment="1">
      <alignment horizontal="right"/>
    </xf>
    <xf numFmtId="165" fontId="7" fillId="2" borderId="0" xfId="0" applyNumberFormat="1" applyFont="1" applyFill="1" applyAlignment="1">
      <alignment horizontal="center"/>
    </xf>
    <xf numFmtId="165" fontId="7" fillId="2" borderId="2" xfId="0" applyNumberFormat="1" applyFont="1" applyFill="1" applyBorder="1" applyAlignment="1">
      <alignment horizontal="center"/>
    </xf>
    <xf numFmtId="166" fontId="7" fillId="2" borderId="36" xfId="0" applyNumberFormat="1" applyFont="1" applyFill="1" applyBorder="1" applyAlignment="1">
      <alignment horizontal="center"/>
    </xf>
    <xf numFmtId="0" fontId="7" fillId="2" borderId="21" xfId="0" applyFont="1" applyFill="1" applyBorder="1"/>
    <xf numFmtId="0" fontId="7" fillId="2" borderId="13" xfId="0" applyFont="1" applyFill="1" applyBorder="1"/>
    <xf numFmtId="3" fontId="7" fillId="2" borderId="22" xfId="0" applyNumberFormat="1" applyFont="1" applyFill="1" applyBorder="1"/>
    <xf numFmtId="4" fontId="7" fillId="2" borderId="6" xfId="0" applyNumberFormat="1" applyFont="1" applyFill="1" applyBorder="1"/>
    <xf numFmtId="4" fontId="7" fillId="2" borderId="13" xfId="0" applyNumberFormat="1" applyFont="1" applyFill="1" applyBorder="1"/>
    <xf numFmtId="3" fontId="7" fillId="2" borderId="30" xfId="0" applyNumberFormat="1" applyFont="1" applyFill="1" applyBorder="1" applyAlignment="1">
      <alignment horizontal="center"/>
    </xf>
    <xf numFmtId="4" fontId="7" fillId="2" borderId="23" xfId="0" applyNumberFormat="1" applyFont="1" applyFill="1" applyBorder="1"/>
    <xf numFmtId="0" fontId="0" fillId="2" borderId="40" xfId="0" applyFill="1" applyBorder="1"/>
    <xf numFmtId="0" fontId="0" fillId="2" borderId="13" xfId="0" applyFill="1" applyBorder="1"/>
    <xf numFmtId="0" fontId="0" fillId="2" borderId="22" xfId="0" applyFill="1" applyBorder="1"/>
    <xf numFmtId="0" fontId="0" fillId="0" borderId="21" xfId="0" applyBorder="1"/>
    <xf numFmtId="0" fontId="0" fillId="0" borderId="18" xfId="0" applyBorder="1"/>
    <xf numFmtId="3" fontId="7" fillId="0" borderId="3" xfId="0" applyNumberFormat="1" applyFont="1" applyBorder="1" applyAlignment="1">
      <alignment horizontal="center"/>
    </xf>
    <xf numFmtId="3" fontId="7" fillId="2" borderId="3" xfId="0" applyNumberFormat="1" applyFont="1" applyFill="1" applyBorder="1"/>
    <xf numFmtId="0" fontId="8" fillId="0" borderId="18" xfId="0" applyFont="1" applyBorder="1"/>
    <xf numFmtId="0" fontId="8" fillId="0" borderId="31" xfId="0" applyFont="1" applyBorder="1"/>
    <xf numFmtId="0" fontId="3" fillId="0" borderId="18" xfId="0" applyFont="1" applyBorder="1"/>
    <xf numFmtId="0" fontId="3" fillId="0" borderId="24" xfId="0" applyFont="1" applyBorder="1"/>
    <xf numFmtId="0" fontId="3" fillId="0" borderId="21" xfId="0" applyFont="1" applyBorder="1"/>
    <xf numFmtId="0" fontId="3" fillId="2" borderId="35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165" fontId="8" fillId="0" borderId="30" xfId="0" applyNumberFormat="1" applyFont="1" applyBorder="1"/>
    <xf numFmtId="3" fontId="7" fillId="0" borderId="27" xfId="0" applyNumberFormat="1" applyFont="1" applyBorder="1"/>
    <xf numFmtId="3" fontId="7" fillId="0" borderId="29" xfId="0" applyNumberFormat="1" applyFont="1" applyBorder="1"/>
    <xf numFmtId="3" fontId="7" fillId="2" borderId="27" xfId="0" applyNumberFormat="1" applyFont="1" applyFill="1" applyBorder="1"/>
    <xf numFmtId="3" fontId="7" fillId="2" borderId="29" xfId="0" applyNumberFormat="1" applyFont="1" applyFill="1" applyBorder="1"/>
    <xf numFmtId="3" fontId="7" fillId="0" borderId="30" xfId="0" applyNumberFormat="1" applyFont="1" applyBorder="1"/>
    <xf numFmtId="3" fontId="10" fillId="0" borderId="31" xfId="0" applyNumberFormat="1" applyFont="1" applyBorder="1" applyAlignment="1">
      <alignment vertical="center"/>
    </xf>
    <xf numFmtId="0" fontId="14" fillId="0" borderId="10" xfId="0" applyFont="1" applyBorder="1" applyAlignment="1">
      <alignment horizontal="center" vertical="center" wrapText="1"/>
    </xf>
    <xf numFmtId="0" fontId="14" fillId="2" borderId="48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15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8" fillId="5" borderId="42" xfId="0" applyFont="1" applyFill="1" applyBorder="1" applyAlignment="1">
      <alignment horizontal="center" vertical="center" wrapText="1"/>
    </xf>
    <xf numFmtId="0" fontId="8" fillId="5" borderId="25" xfId="0" applyFont="1" applyFill="1" applyBorder="1" applyAlignment="1">
      <alignment horizontal="center" vertical="center" wrapText="1"/>
    </xf>
    <xf numFmtId="0" fontId="8" fillId="3" borderId="42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3" borderId="43" xfId="0" applyFont="1" applyFill="1" applyBorder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 wrapText="1"/>
    </xf>
    <xf numFmtId="0" fontId="1" fillId="5" borderId="37" xfId="0" applyFont="1" applyFill="1" applyBorder="1" applyAlignment="1">
      <alignment horizontal="center" vertical="center" wrapText="1"/>
    </xf>
    <xf numFmtId="0" fontId="1" fillId="5" borderId="38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</cellXfs>
  <cellStyles count="6">
    <cellStyle name="Millares 2" xfId="4" xr:uid="{ACBEA4F4-79EB-47D7-908F-3AB31DB9A39C}"/>
    <cellStyle name="Normal" xfId="0" builtinId="0"/>
    <cellStyle name="Normal 2" xfId="2" xr:uid="{2459285E-65E6-45E6-983E-0DD6FD66FD21}"/>
    <cellStyle name="Porcentaje 2" xfId="5" xr:uid="{45C70D39-0DC8-4778-80BC-C9DF3C9CFC59}"/>
    <cellStyle name="Porcentual 2" xfId="1" xr:uid="{00000000-0005-0000-0000-000002000000}"/>
    <cellStyle name="Porcentual 2 2" xfId="3" xr:uid="{B58EA10F-C65E-4EAE-9DDD-606C6466FAC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CCFD6-87FC-4DBD-87F3-73048C914457}">
  <sheetPr>
    <tabColor rgb="FF00B050"/>
  </sheetPr>
  <dimension ref="A3:O28"/>
  <sheetViews>
    <sheetView zoomScaleNormal="100" workbookViewId="0">
      <selection activeCell="A3" sqref="A3:M3"/>
    </sheetView>
  </sheetViews>
  <sheetFormatPr baseColWidth="10" defaultColWidth="11.42578125" defaultRowHeight="12.75" x14ac:dyDescent="0.2"/>
  <cols>
    <col min="1" max="1" width="16.7109375" customWidth="1"/>
    <col min="2" max="3" width="11.140625" customWidth="1"/>
    <col min="4" max="5" width="11.5703125" customWidth="1"/>
    <col min="6" max="6" width="14.5703125" customWidth="1"/>
    <col min="7" max="7" width="11.28515625" customWidth="1"/>
    <col min="8" max="8" width="11.28515625" bestFit="1" customWidth="1"/>
    <col min="9" max="9" width="14.85546875" customWidth="1"/>
    <col min="10" max="10" width="13.85546875" customWidth="1"/>
    <col min="11" max="11" width="10.140625" customWidth="1"/>
    <col min="12" max="12" width="10.85546875" customWidth="1"/>
    <col min="13" max="13" width="10.7109375" customWidth="1"/>
  </cols>
  <sheetData>
    <row r="3" spans="1:14" ht="15.75" x14ac:dyDescent="0.25">
      <c r="A3" s="185" t="s">
        <v>112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</row>
    <row r="4" spans="1:14" ht="15.75" x14ac:dyDescent="0.25">
      <c r="A4" s="185" t="s">
        <v>72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</row>
    <row r="6" spans="1:14" ht="13.5" thickBot="1" x14ac:dyDescent="0.25"/>
    <row r="7" spans="1:14" ht="13.5" hidden="1" thickBot="1" x14ac:dyDescent="0.25"/>
    <row r="8" spans="1:14" s="75" customFormat="1" ht="15.75" thickBot="1" x14ac:dyDescent="0.25">
      <c r="A8" s="186" t="s">
        <v>73</v>
      </c>
      <c r="B8" s="188" t="s">
        <v>0</v>
      </c>
      <c r="C8" s="189"/>
      <c r="D8" s="189"/>
      <c r="E8" s="189"/>
      <c r="F8" s="190" t="s">
        <v>1</v>
      </c>
      <c r="G8" s="191"/>
      <c r="H8" s="192"/>
      <c r="I8" s="193" t="s">
        <v>74</v>
      </c>
      <c r="J8" s="193"/>
      <c r="K8" s="193"/>
      <c r="L8" s="194" t="s">
        <v>75</v>
      </c>
      <c r="M8" s="195"/>
    </row>
    <row r="9" spans="1:14" s="75" customFormat="1" ht="42.75" x14ac:dyDescent="0.2">
      <c r="A9" s="187"/>
      <c r="B9" s="76" t="s">
        <v>78</v>
      </c>
      <c r="C9" s="121" t="s">
        <v>82</v>
      </c>
      <c r="D9" s="77" t="s">
        <v>83</v>
      </c>
      <c r="E9" s="77" t="s">
        <v>101</v>
      </c>
      <c r="F9" s="78" t="s">
        <v>79</v>
      </c>
      <c r="G9" s="79" t="s">
        <v>80</v>
      </c>
      <c r="H9" s="80" t="s">
        <v>81</v>
      </c>
      <c r="I9" s="81" t="s">
        <v>84</v>
      </c>
      <c r="J9" s="82" t="s">
        <v>89</v>
      </c>
      <c r="K9" s="83" t="s">
        <v>90</v>
      </c>
      <c r="L9" s="84" t="s">
        <v>87</v>
      </c>
      <c r="M9" s="85" t="s">
        <v>88</v>
      </c>
    </row>
    <row r="10" spans="1:14" ht="14.25" x14ac:dyDescent="0.2">
      <c r="A10" s="86"/>
      <c r="B10" s="87"/>
      <c r="C10" s="89"/>
      <c r="D10" s="88"/>
      <c r="E10" s="120"/>
      <c r="F10" s="90"/>
      <c r="G10" s="91"/>
      <c r="H10" s="92"/>
      <c r="I10" s="93"/>
      <c r="J10" s="94"/>
      <c r="K10" s="95"/>
      <c r="L10" s="90"/>
      <c r="M10" s="96"/>
    </row>
    <row r="11" spans="1:14" ht="15.75" x14ac:dyDescent="0.25">
      <c r="A11" s="97" t="s">
        <v>76</v>
      </c>
      <c r="B11" s="98">
        <f>B13+B15</f>
        <v>50602618</v>
      </c>
      <c r="C11" s="99">
        <f>C13+C15</f>
        <v>45513146</v>
      </c>
      <c r="D11" s="11">
        <f>D13+D15</f>
        <v>3278309.95</v>
      </c>
      <c r="E11" s="11">
        <f>E13+E15</f>
        <v>47324308.049999997</v>
      </c>
      <c r="F11" s="98">
        <f>F13+F15</f>
        <v>41139751.25999999</v>
      </c>
      <c r="G11" s="11">
        <f t="shared" ref="G11:H11" si="0">G13+G15</f>
        <v>27294553.219999999</v>
      </c>
      <c r="H11" s="99">
        <f t="shared" si="0"/>
        <v>12224201.32</v>
      </c>
      <c r="I11" s="100">
        <f>F11/E11*100</f>
        <v>86.931543122689121</v>
      </c>
      <c r="J11" s="101">
        <f>G11/E11*100</f>
        <v>57.675546341136631</v>
      </c>
      <c r="K11" s="102">
        <f>H11/E11*100</f>
        <v>25.830702705858162</v>
      </c>
      <c r="L11" s="103">
        <f>C11-F11</f>
        <v>4373394.7400000095</v>
      </c>
      <c r="M11" s="104">
        <f>E11-F11</f>
        <v>6184556.7900000066</v>
      </c>
      <c r="N11" s="3"/>
    </row>
    <row r="12" spans="1:14" ht="15.75" x14ac:dyDescent="0.25">
      <c r="A12" s="105"/>
      <c r="B12" s="87"/>
      <c r="C12" s="89"/>
      <c r="D12" s="94"/>
      <c r="E12" s="94"/>
      <c r="F12" s="87"/>
      <c r="G12" s="11"/>
      <c r="H12" s="99"/>
      <c r="I12" s="93"/>
      <c r="J12" s="101"/>
      <c r="K12" s="102"/>
      <c r="L12" s="106"/>
      <c r="M12" s="12"/>
    </row>
    <row r="13" spans="1:14" ht="15" x14ac:dyDescent="0.2">
      <c r="A13" s="105" t="s">
        <v>2</v>
      </c>
      <c r="B13" s="106">
        <f>Funcionamiento!C3</f>
        <v>7183777</v>
      </c>
      <c r="C13" s="12">
        <f>Funcionamiento!D3</f>
        <v>5088577</v>
      </c>
      <c r="D13" s="10">
        <f>Funcionamiento!E3</f>
        <v>62231</v>
      </c>
      <c r="E13" s="10">
        <f>B13-D13</f>
        <v>7121546</v>
      </c>
      <c r="F13" s="106">
        <f>Funcionamiento!G3</f>
        <v>4697873.6900000004</v>
      </c>
      <c r="G13" s="107">
        <f>Funcionamiento!H3</f>
        <v>4121369.22</v>
      </c>
      <c r="H13" s="108">
        <f>Funcionamiento!J3</f>
        <v>3985988.81</v>
      </c>
      <c r="I13" s="109">
        <f>F13/E13*100</f>
        <v>65.967048306645779</v>
      </c>
      <c r="J13" s="122">
        <f>G13/E13*100</f>
        <v>57.871833166562439</v>
      </c>
      <c r="K13" s="123">
        <f>H13/E13*100</f>
        <v>55.970835686520878</v>
      </c>
      <c r="L13" s="106">
        <f>C13-F13</f>
        <v>390703.30999999959</v>
      </c>
      <c r="M13" s="12">
        <f>E13-F13</f>
        <v>2423672.3099999996</v>
      </c>
    </row>
    <row r="14" spans="1:14" ht="15" x14ac:dyDescent="0.2">
      <c r="A14" s="105"/>
      <c r="B14" s="106"/>
      <c r="C14" s="12"/>
      <c r="D14" s="10"/>
      <c r="E14" s="10"/>
      <c r="F14" s="106"/>
      <c r="G14" s="107"/>
      <c r="H14" s="108"/>
      <c r="I14" s="110"/>
      <c r="J14" s="122"/>
      <c r="K14" s="123"/>
      <c r="L14" s="106"/>
      <c r="M14" s="12"/>
    </row>
    <row r="15" spans="1:14" ht="15" x14ac:dyDescent="0.2">
      <c r="A15" s="139" t="s">
        <v>3</v>
      </c>
      <c r="B15" s="140">
        <f>Inversiones!C4</f>
        <v>43418841</v>
      </c>
      <c r="C15" s="66">
        <f>Inversiones!D4</f>
        <v>40424569</v>
      </c>
      <c r="D15" s="64">
        <f>Inversiones!E4</f>
        <v>3216078.95</v>
      </c>
      <c r="E15" s="64">
        <f>B15-D15</f>
        <v>40202762.049999997</v>
      </c>
      <c r="F15" s="140">
        <f>Inversiones!G4</f>
        <v>36441877.569999993</v>
      </c>
      <c r="G15" s="141">
        <f>Inversiones!H4</f>
        <v>23173184</v>
      </c>
      <c r="H15" s="142">
        <f>Inversiones!J4</f>
        <v>8238212.5100000007</v>
      </c>
      <c r="I15" s="143">
        <f>F15/E15*100</f>
        <v>90.645208716449361</v>
      </c>
      <c r="J15" s="144">
        <f>G15/E15*100</f>
        <v>57.640775952606468</v>
      </c>
      <c r="K15" s="145">
        <f>H15/E15*100</f>
        <v>20.491658010348075</v>
      </c>
      <c r="L15" s="140">
        <f>C15-F15</f>
        <v>3982691.4300000072</v>
      </c>
      <c r="M15" s="66">
        <f>E15-F15</f>
        <v>3760884.4800000042</v>
      </c>
    </row>
    <row r="16" spans="1:14" ht="15" thickBot="1" x14ac:dyDescent="0.25">
      <c r="A16" s="111"/>
      <c r="B16" s="112"/>
      <c r="C16" s="9"/>
      <c r="D16" s="113"/>
      <c r="E16" s="113"/>
      <c r="F16" s="114"/>
      <c r="G16" s="115"/>
      <c r="H16" s="116"/>
      <c r="I16" s="117"/>
      <c r="J16" s="115"/>
      <c r="K16" s="118"/>
      <c r="L16" s="2"/>
      <c r="M16" s="119"/>
    </row>
    <row r="19" spans="2:15" x14ac:dyDescent="0.2">
      <c r="F19" s="1"/>
      <c r="I19" s="1"/>
    </row>
    <row r="22" spans="2:15" x14ac:dyDescent="0.2">
      <c r="B22" s="5" t="s">
        <v>4</v>
      </c>
      <c r="C22" s="5"/>
    </row>
    <row r="28" spans="2:15" x14ac:dyDescent="0.2">
      <c r="O28" s="5" t="s">
        <v>5</v>
      </c>
    </row>
  </sheetData>
  <mergeCells count="7">
    <mergeCell ref="A3:M3"/>
    <mergeCell ref="A4:M4"/>
    <mergeCell ref="A8:A9"/>
    <mergeCell ref="B8:E8"/>
    <mergeCell ref="F8:H8"/>
    <mergeCell ref="I8:K8"/>
    <mergeCell ref="L8:M8"/>
  </mergeCells>
  <pageMargins left="0.7" right="0" top="0.75" bottom="0.75" header="0.3" footer="0.3"/>
  <pageSetup scale="8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251BE-D40E-43E1-A757-AD15054E4CBA}">
  <sheetPr>
    <tabColor rgb="FF00B050"/>
  </sheetPr>
  <dimension ref="A3:N29"/>
  <sheetViews>
    <sheetView tabSelected="1" zoomScaleNormal="100" workbookViewId="0">
      <selection activeCell="J17" sqref="J17"/>
    </sheetView>
  </sheetViews>
  <sheetFormatPr baseColWidth="10" defaultColWidth="11.42578125" defaultRowHeight="12.75" x14ac:dyDescent="0.2"/>
  <cols>
    <col min="1" max="1" width="16.7109375" customWidth="1"/>
    <col min="2" max="3" width="11.140625" customWidth="1"/>
    <col min="5" max="5" width="13" customWidth="1"/>
    <col min="6" max="6" width="14.85546875" customWidth="1"/>
    <col min="7" max="7" width="11.28515625" bestFit="1" customWidth="1"/>
    <col min="8" max="8" width="12.42578125" customWidth="1"/>
    <col min="9" max="9" width="14.85546875" customWidth="1"/>
    <col min="10" max="10" width="12.28515625" customWidth="1"/>
    <col min="11" max="11" width="10.85546875" customWidth="1"/>
    <col min="12" max="12" width="11" customWidth="1"/>
    <col min="13" max="13" width="10.5703125" customWidth="1"/>
  </cols>
  <sheetData>
    <row r="3" spans="1:13" ht="15.75" x14ac:dyDescent="0.25">
      <c r="A3" s="185" t="s">
        <v>113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</row>
    <row r="4" spans="1:13" ht="15.75" x14ac:dyDescent="0.25">
      <c r="A4" s="185" t="s">
        <v>77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</row>
    <row r="6" spans="1:13" ht="13.5" thickBot="1" x14ac:dyDescent="0.25"/>
    <row r="7" spans="1:13" ht="13.5" hidden="1" thickBot="1" x14ac:dyDescent="0.25"/>
    <row r="8" spans="1:13" s="75" customFormat="1" ht="15.75" customHeight="1" thickBot="1" x14ac:dyDescent="0.25">
      <c r="A8" s="186" t="s">
        <v>73</v>
      </c>
      <c r="B8" s="188" t="s">
        <v>0</v>
      </c>
      <c r="C8" s="189"/>
      <c r="D8" s="189"/>
      <c r="E8" s="189"/>
      <c r="F8" s="190" t="s">
        <v>1</v>
      </c>
      <c r="G8" s="191"/>
      <c r="H8" s="192"/>
      <c r="I8" s="193" t="s">
        <v>74</v>
      </c>
      <c r="J8" s="193"/>
      <c r="K8" s="193"/>
      <c r="L8" s="194" t="s">
        <v>75</v>
      </c>
      <c r="M8" s="195"/>
    </row>
    <row r="9" spans="1:13" s="75" customFormat="1" ht="42.75" x14ac:dyDescent="0.2">
      <c r="A9" s="187"/>
      <c r="B9" s="76" t="s">
        <v>78</v>
      </c>
      <c r="C9" s="121" t="s">
        <v>82</v>
      </c>
      <c r="D9" s="77" t="s">
        <v>100</v>
      </c>
      <c r="E9" s="77" t="s">
        <v>99</v>
      </c>
      <c r="F9" s="78" t="s">
        <v>79</v>
      </c>
      <c r="G9" s="79" t="s">
        <v>80</v>
      </c>
      <c r="H9" s="80" t="s">
        <v>81</v>
      </c>
      <c r="I9" s="81" t="s">
        <v>91</v>
      </c>
      <c r="J9" s="82" t="s">
        <v>86</v>
      </c>
      <c r="K9" s="83" t="s">
        <v>85</v>
      </c>
      <c r="L9" s="84" t="s">
        <v>87</v>
      </c>
      <c r="M9" s="85" t="s">
        <v>88</v>
      </c>
    </row>
    <row r="10" spans="1:13" ht="14.25" x14ac:dyDescent="0.2">
      <c r="A10" s="86"/>
      <c r="B10" s="87"/>
      <c r="C10" s="89"/>
      <c r="D10" s="88"/>
      <c r="E10" s="120"/>
      <c r="F10" s="90"/>
      <c r="G10" s="91"/>
      <c r="H10" s="92"/>
      <c r="I10" s="93"/>
      <c r="J10" s="94"/>
      <c r="K10" s="95"/>
      <c r="L10" s="90"/>
      <c r="M10" s="96"/>
    </row>
    <row r="11" spans="1:13" ht="15.75" x14ac:dyDescent="0.25">
      <c r="A11" s="97" t="s">
        <v>76</v>
      </c>
      <c r="B11" s="98">
        <f>B13+B15</f>
        <v>50602618</v>
      </c>
      <c r="C11" s="99">
        <f>C13+C15</f>
        <v>45513146</v>
      </c>
      <c r="D11" s="11">
        <f>D13+D15</f>
        <v>3278309.95</v>
      </c>
      <c r="E11" s="11">
        <f>E13+E15</f>
        <v>47324308.049999997</v>
      </c>
      <c r="F11" s="98">
        <f>F13+F15</f>
        <v>41139751.25999999</v>
      </c>
      <c r="G11" s="11">
        <f t="shared" ref="G11:H11" si="0">G13+G15</f>
        <v>27294553.219999999</v>
      </c>
      <c r="H11" s="99">
        <f t="shared" si="0"/>
        <v>12224201.32</v>
      </c>
      <c r="I11" s="100">
        <f>F11/C11*100</f>
        <v>90.390919713614153</v>
      </c>
      <c r="J11" s="101">
        <f>G11/C11*100</f>
        <v>59.970702135158923</v>
      </c>
      <c r="K11" s="102">
        <f>H11/C11*100</f>
        <v>26.858616453364924</v>
      </c>
      <c r="L11" s="103">
        <f>C11-F11</f>
        <v>4373394.7400000095</v>
      </c>
      <c r="M11" s="104">
        <f>E11-F11</f>
        <v>6184556.7900000066</v>
      </c>
    </row>
    <row r="12" spans="1:13" ht="15.75" x14ac:dyDescent="0.25">
      <c r="A12" s="105"/>
      <c r="B12" s="87"/>
      <c r="C12" s="89"/>
      <c r="D12" s="94"/>
      <c r="E12" s="94"/>
      <c r="F12" s="87"/>
      <c r="G12" s="11"/>
      <c r="H12" s="99"/>
      <c r="I12" s="93"/>
      <c r="J12" s="101"/>
      <c r="K12" s="102"/>
      <c r="L12" s="106"/>
      <c r="M12" s="12"/>
    </row>
    <row r="13" spans="1:13" ht="15" x14ac:dyDescent="0.2">
      <c r="A13" s="105" t="s">
        <v>2</v>
      </c>
      <c r="B13" s="106">
        <f>Funcionamiento!C3</f>
        <v>7183777</v>
      </c>
      <c r="C13" s="12">
        <f>Funcionamiento!D3</f>
        <v>5088577</v>
      </c>
      <c r="D13" s="10">
        <f>Funcionamiento!E3</f>
        <v>62231</v>
      </c>
      <c r="E13" s="10">
        <f>B13-D13</f>
        <v>7121546</v>
      </c>
      <c r="F13" s="106">
        <f>Funcionamiento!G3</f>
        <v>4697873.6900000004</v>
      </c>
      <c r="G13" s="107">
        <f>Funcionamiento!H3</f>
        <v>4121369.22</v>
      </c>
      <c r="H13" s="108">
        <f>Funcionamiento!J3</f>
        <v>3985988.81</v>
      </c>
      <c r="I13" s="109">
        <f>F13/C13*100</f>
        <v>92.321953465575945</v>
      </c>
      <c r="J13" s="122">
        <f>G13/C13*100</f>
        <v>80.992568649349323</v>
      </c>
      <c r="K13" s="123">
        <f>H13/C13*100</f>
        <v>78.332091859865741</v>
      </c>
      <c r="L13" s="106">
        <f>C13-F13</f>
        <v>390703.30999999959</v>
      </c>
      <c r="M13" s="12">
        <f>E13-F13</f>
        <v>2423672.3099999996</v>
      </c>
    </row>
    <row r="14" spans="1:13" ht="15" x14ac:dyDescent="0.2">
      <c r="A14" s="105"/>
      <c r="B14" s="106"/>
      <c r="C14" s="12"/>
      <c r="D14" s="10"/>
      <c r="E14" s="10"/>
      <c r="F14" s="106"/>
      <c r="G14" s="107"/>
      <c r="H14" s="108"/>
      <c r="I14" s="110"/>
      <c r="J14" s="122"/>
      <c r="K14" s="123"/>
      <c r="L14" s="106"/>
      <c r="M14" s="12"/>
    </row>
    <row r="15" spans="1:13" ht="15" x14ac:dyDescent="0.2">
      <c r="A15" s="139" t="s">
        <v>3</v>
      </c>
      <c r="B15" s="140">
        <f>Inversiones!C4</f>
        <v>43418841</v>
      </c>
      <c r="C15" s="66">
        <f>Inversiones!D4</f>
        <v>40424569</v>
      </c>
      <c r="D15" s="64">
        <f>Inversiones!E4</f>
        <v>3216078.95</v>
      </c>
      <c r="E15" s="64">
        <f>B15-D15</f>
        <v>40202762.049999997</v>
      </c>
      <c r="F15" s="140">
        <f>Inversiones!G4</f>
        <v>36441877.569999993</v>
      </c>
      <c r="G15" s="141">
        <f>Inversiones!H4</f>
        <v>23173184</v>
      </c>
      <c r="H15" s="142">
        <f>Inversiones!J4</f>
        <v>8238212.5100000007</v>
      </c>
      <c r="I15" s="143">
        <f>F15/C15*100</f>
        <v>90.147844421049967</v>
      </c>
      <c r="J15" s="144">
        <f>G15/C15*100</f>
        <v>57.324504807954789</v>
      </c>
      <c r="K15" s="145">
        <f>H15/E15*100</f>
        <v>20.491658010348075</v>
      </c>
      <c r="L15" s="140">
        <f>C15-F15</f>
        <v>3982691.4300000072</v>
      </c>
      <c r="M15" s="66">
        <f>E15-F15</f>
        <v>3760884.4800000042</v>
      </c>
    </row>
    <row r="16" spans="1:13" ht="15" thickBot="1" x14ac:dyDescent="0.25">
      <c r="A16" s="146"/>
      <c r="B16" s="147"/>
      <c r="C16" s="148"/>
      <c r="D16" s="149"/>
      <c r="E16" s="149"/>
      <c r="F16" s="150"/>
      <c r="G16" s="73"/>
      <c r="H16" s="151"/>
      <c r="I16" s="152"/>
      <c r="J16" s="73"/>
      <c r="K16" s="153"/>
      <c r="L16" s="154"/>
      <c r="M16" s="155"/>
    </row>
    <row r="19" spans="2:14" x14ac:dyDescent="0.2">
      <c r="D19" s="1"/>
      <c r="E19" s="1"/>
      <c r="H19" s="1"/>
    </row>
    <row r="22" spans="2:14" x14ac:dyDescent="0.2">
      <c r="B22" s="5" t="s">
        <v>4</v>
      </c>
    </row>
    <row r="28" spans="2:14" x14ac:dyDescent="0.2">
      <c r="N28" s="5" t="s">
        <v>5</v>
      </c>
    </row>
    <row r="29" spans="2:14" x14ac:dyDescent="0.2">
      <c r="D29" s="5" t="s">
        <v>6</v>
      </c>
    </row>
  </sheetData>
  <mergeCells count="7">
    <mergeCell ref="A8:A9"/>
    <mergeCell ref="B8:E8"/>
    <mergeCell ref="F8:H8"/>
    <mergeCell ref="I8:K8"/>
    <mergeCell ref="L8:M8"/>
    <mergeCell ref="A4:M4"/>
    <mergeCell ref="A3:M3"/>
  </mergeCells>
  <pageMargins left="0.45" right="0" top="0.75" bottom="0.75" header="0.3" footer="0.3"/>
  <pageSetup scale="82" orientation="landscape" r:id="rId1"/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EEAD8-9871-478B-8D55-68049E14A205}">
  <dimension ref="A1:N35"/>
  <sheetViews>
    <sheetView topLeftCell="B1" zoomScaleNormal="100" workbookViewId="0">
      <pane ySplit="2" topLeftCell="A66" activePane="bottomLeft" state="frozen"/>
      <selection pane="bottomLeft" activeCell="K27" sqref="K27:K30"/>
    </sheetView>
  </sheetViews>
  <sheetFormatPr baseColWidth="10" defaultColWidth="11.42578125" defaultRowHeight="12.75" x14ac:dyDescent="0.2"/>
  <cols>
    <col min="1" max="1" width="31.28515625" customWidth="1"/>
    <col min="2" max="2" width="11.7109375" customWidth="1"/>
    <col min="3" max="3" width="11.42578125" customWidth="1"/>
    <col min="4" max="4" width="12.140625" customWidth="1"/>
    <col min="5" max="5" width="10.28515625" customWidth="1"/>
    <col min="6" max="6" width="11.7109375" customWidth="1"/>
    <col min="7" max="7" width="12.85546875" bestFit="1" customWidth="1"/>
    <col min="8" max="8" width="10.85546875" customWidth="1"/>
    <col min="9" max="9" width="13.28515625" customWidth="1"/>
    <col min="10" max="10" width="10.5703125" customWidth="1"/>
    <col min="11" max="11" width="11" customWidth="1"/>
    <col min="12" max="12" width="11.7109375" bestFit="1" customWidth="1"/>
    <col min="15" max="15" width="0" hidden="1" customWidth="1"/>
  </cols>
  <sheetData>
    <row r="1" spans="1:14" ht="25.5" customHeight="1" thickBot="1" x14ac:dyDescent="0.3">
      <c r="A1" s="196" t="s">
        <v>70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</row>
    <row r="2" spans="1:14" ht="51" x14ac:dyDescent="0.2">
      <c r="A2" s="166" t="s">
        <v>7</v>
      </c>
      <c r="B2" s="4" t="s">
        <v>8</v>
      </c>
      <c r="C2" s="4" t="s">
        <v>92</v>
      </c>
      <c r="D2" s="167" t="s">
        <v>93</v>
      </c>
      <c r="E2" s="4" t="s">
        <v>94</v>
      </c>
      <c r="F2" s="165" t="s">
        <v>102</v>
      </c>
      <c r="G2" s="168" t="s">
        <v>95</v>
      </c>
      <c r="H2" s="169" t="s">
        <v>96</v>
      </c>
      <c r="I2" s="169" t="s">
        <v>98</v>
      </c>
      <c r="J2" s="169" t="s">
        <v>97</v>
      </c>
      <c r="K2" s="170" t="s">
        <v>111</v>
      </c>
    </row>
    <row r="3" spans="1:14" ht="15.75" x14ac:dyDescent="0.25">
      <c r="A3" s="97" t="s">
        <v>9</v>
      </c>
      <c r="B3" s="53">
        <f>B5+B10+B17+B31</f>
        <v>7183777</v>
      </c>
      <c r="C3" s="53">
        <f t="shared" ref="C3:H3" si="0">C5+C10+C17+C26+C31</f>
        <v>7183777</v>
      </c>
      <c r="D3" s="53">
        <f t="shared" si="0"/>
        <v>5088577</v>
      </c>
      <c r="E3" s="53">
        <f t="shared" si="0"/>
        <v>62231</v>
      </c>
      <c r="F3" s="53">
        <f t="shared" si="0"/>
        <v>7121546</v>
      </c>
      <c r="G3" s="53">
        <f t="shared" si="0"/>
        <v>4697873.6900000004</v>
      </c>
      <c r="H3" s="53">
        <f t="shared" si="0"/>
        <v>4121369.22</v>
      </c>
      <c r="I3" s="11">
        <f>H3/D3*100</f>
        <v>80.992568649349323</v>
      </c>
      <c r="J3" s="53">
        <f>J5+J10+J17+J26+J31</f>
        <v>3985988.81</v>
      </c>
      <c r="K3" s="54">
        <f>D3-E3-G3</f>
        <v>328472.30999999959</v>
      </c>
      <c r="L3" s="13"/>
    </row>
    <row r="4" spans="1:14" ht="15.75" thickBot="1" x14ac:dyDescent="0.3">
      <c r="A4" s="156"/>
      <c r="B4" s="55"/>
      <c r="C4" s="55"/>
      <c r="D4" s="55"/>
      <c r="E4" s="55"/>
      <c r="F4" s="56"/>
      <c r="G4" s="56"/>
      <c r="H4" s="57" t="s">
        <v>6</v>
      </c>
      <c r="I4" s="58"/>
      <c r="J4" s="57"/>
      <c r="K4" s="171"/>
      <c r="M4" s="13"/>
    </row>
    <row r="5" spans="1:14" ht="27" customHeight="1" x14ac:dyDescent="0.25">
      <c r="A5" s="160" t="s">
        <v>10</v>
      </c>
      <c r="B5" s="53">
        <f>B6+B7+B8+B9</f>
        <v>6288975</v>
      </c>
      <c r="C5" s="53">
        <f>C6+C7+C8+C9</f>
        <v>6124775</v>
      </c>
      <c r="D5" s="53">
        <f>D6+D7+D8+D9</f>
        <v>4031907</v>
      </c>
      <c r="E5" s="53">
        <f>E6+E7+E8+E9</f>
        <v>0</v>
      </c>
      <c r="F5" s="53">
        <f>C5-E5</f>
        <v>6124775</v>
      </c>
      <c r="G5" s="53">
        <f>G6+G7+G8+G9</f>
        <v>3783932.7100000004</v>
      </c>
      <c r="H5" s="53">
        <f t="shared" ref="H5:K5" si="1">H6+H7+H8+H9</f>
        <v>3635581.1900000004</v>
      </c>
      <c r="I5" s="11">
        <f t="shared" ref="I5:I32" si="2">H5/D5*100</f>
        <v>90.17026409587325</v>
      </c>
      <c r="J5" s="53">
        <f t="shared" si="1"/>
        <v>3551385.78</v>
      </c>
      <c r="K5" s="54">
        <f t="shared" si="1"/>
        <v>247974.28999999995</v>
      </c>
      <c r="L5" s="1"/>
      <c r="N5" s="1"/>
    </row>
    <row r="6" spans="1:14" ht="27" customHeight="1" x14ac:dyDescent="0.2">
      <c r="A6" s="157" t="s">
        <v>11</v>
      </c>
      <c r="B6" s="10">
        <v>5206800</v>
      </c>
      <c r="C6" s="10">
        <v>5108210</v>
      </c>
      <c r="D6" s="10">
        <v>3375610</v>
      </c>
      <c r="E6" s="10">
        <v>0</v>
      </c>
      <c r="F6" s="10">
        <f>C6-E6</f>
        <v>5108210</v>
      </c>
      <c r="G6" s="10">
        <f>3059520.02+147351.52</f>
        <v>3206871.54</v>
      </c>
      <c r="H6" s="10">
        <v>3059520.02</v>
      </c>
      <c r="I6" s="59">
        <f t="shared" si="2"/>
        <v>90.636063407798886</v>
      </c>
      <c r="J6" s="10">
        <v>2979573.55</v>
      </c>
      <c r="K6" s="172">
        <f>D6-G6</f>
        <v>168738.45999999996</v>
      </c>
    </row>
    <row r="7" spans="1:14" ht="27" customHeight="1" x14ac:dyDescent="0.2">
      <c r="A7" s="157" t="s">
        <v>12</v>
      </c>
      <c r="B7" s="10">
        <v>105600</v>
      </c>
      <c r="C7" s="10">
        <v>106817</v>
      </c>
      <c r="D7" s="10">
        <v>71617</v>
      </c>
      <c r="E7" s="10">
        <v>0</v>
      </c>
      <c r="F7" s="10">
        <f t="shared" ref="F7:F9" si="3">C7-E7</f>
        <v>106817</v>
      </c>
      <c r="G7" s="10">
        <f>68154.91+1000</f>
        <v>69154.91</v>
      </c>
      <c r="H7" s="10">
        <v>68154.91</v>
      </c>
      <c r="I7" s="59">
        <f t="shared" si="2"/>
        <v>95.165826549562254</v>
      </c>
      <c r="J7" s="10">
        <v>66346.009999999995</v>
      </c>
      <c r="K7" s="172">
        <f>D7-G7</f>
        <v>2462.0899999999965</v>
      </c>
    </row>
    <row r="8" spans="1:14" ht="27" customHeight="1" x14ac:dyDescent="0.2">
      <c r="A8" s="157" t="s">
        <v>13</v>
      </c>
      <c r="B8" s="10">
        <v>108900</v>
      </c>
      <c r="C8" s="10">
        <v>109023</v>
      </c>
      <c r="D8" s="10">
        <v>72723</v>
      </c>
      <c r="E8" s="10">
        <v>0</v>
      </c>
      <c r="F8" s="10">
        <f t="shared" si="3"/>
        <v>109023</v>
      </c>
      <c r="G8" s="10">
        <v>66677.62</v>
      </c>
      <c r="H8" s="10">
        <v>66677.62</v>
      </c>
      <c r="I8" s="59">
        <f t="shared" si="2"/>
        <v>91.687114117954422</v>
      </c>
      <c r="J8" s="10">
        <v>64237.58</v>
      </c>
      <c r="K8" s="172">
        <f>D8-G8</f>
        <v>6045.3800000000047</v>
      </c>
    </row>
    <row r="9" spans="1:14" ht="27" customHeight="1" x14ac:dyDescent="0.2">
      <c r="A9" s="68" t="s">
        <v>14</v>
      </c>
      <c r="B9" s="69">
        <v>867675</v>
      </c>
      <c r="C9" s="69">
        <v>800725</v>
      </c>
      <c r="D9" s="69">
        <v>511957</v>
      </c>
      <c r="E9" s="69">
        <v>0</v>
      </c>
      <c r="F9" s="69">
        <f t="shared" si="3"/>
        <v>800725</v>
      </c>
      <c r="G9" s="69">
        <v>441228.64</v>
      </c>
      <c r="H9" s="69">
        <v>441228.64</v>
      </c>
      <c r="I9" s="158">
        <f t="shared" si="2"/>
        <v>86.184706918745135</v>
      </c>
      <c r="J9" s="69">
        <v>441228.64</v>
      </c>
      <c r="K9" s="173">
        <f>D9-G9</f>
        <v>70728.359999999986</v>
      </c>
    </row>
    <row r="10" spans="1:14" ht="27" customHeight="1" x14ac:dyDescent="0.25">
      <c r="A10" s="60" t="s">
        <v>15</v>
      </c>
      <c r="B10" s="61">
        <f>SUM(B11:B16)</f>
        <v>714170</v>
      </c>
      <c r="C10" s="61">
        <f>SUM(C11:C16)</f>
        <v>702247</v>
      </c>
      <c r="D10" s="61">
        <f>SUM(D11:D16)</f>
        <v>700581</v>
      </c>
      <c r="E10" s="61">
        <f>SUM(E11:E16)</f>
        <v>28691</v>
      </c>
      <c r="F10" s="61">
        <f t="shared" ref="F10:F18" si="4">C10-E10</f>
        <v>673556</v>
      </c>
      <c r="G10" s="61">
        <f>SUM(G11:G16)</f>
        <v>612786.34</v>
      </c>
      <c r="H10" s="61">
        <f>SUM(H11:H16)</f>
        <v>341567.83999999997</v>
      </c>
      <c r="I10" s="62">
        <f t="shared" si="2"/>
        <v>48.754939114820409</v>
      </c>
      <c r="J10" s="61">
        <f>SUM(J11:J16)</f>
        <v>318662.01</v>
      </c>
      <c r="K10" s="72">
        <f>SUM(K11:K16)</f>
        <v>87794.66</v>
      </c>
      <c r="L10" s="51"/>
      <c r="N10" s="1"/>
    </row>
    <row r="11" spans="1:14" s="7" customFormat="1" ht="27" customHeight="1" x14ac:dyDescent="0.2">
      <c r="A11" s="63" t="s">
        <v>16</v>
      </c>
      <c r="B11" s="64">
        <v>142500</v>
      </c>
      <c r="C11" s="64">
        <v>142500</v>
      </c>
      <c r="D11" s="64">
        <v>142500</v>
      </c>
      <c r="E11" s="64">
        <v>0</v>
      </c>
      <c r="F11" s="64">
        <f t="shared" si="4"/>
        <v>142500</v>
      </c>
      <c r="G11" s="64">
        <v>142458.12</v>
      </c>
      <c r="H11" s="64">
        <v>71229.06</v>
      </c>
      <c r="I11" s="65">
        <f t="shared" si="2"/>
        <v>49.98530526315789</v>
      </c>
      <c r="J11" s="64">
        <v>71229.06</v>
      </c>
      <c r="K11" s="174">
        <f t="shared" ref="K11:K16" si="5">D11-G11</f>
        <v>41.880000000004657</v>
      </c>
    </row>
    <row r="12" spans="1:14" s="7" customFormat="1" ht="27" customHeight="1" x14ac:dyDescent="0.2">
      <c r="A12" s="63" t="s">
        <v>17</v>
      </c>
      <c r="B12" s="64">
        <v>147000</v>
      </c>
      <c r="C12" s="64">
        <v>160123</v>
      </c>
      <c r="D12" s="64">
        <v>160123</v>
      </c>
      <c r="E12" s="64">
        <v>0</v>
      </c>
      <c r="F12" s="64">
        <f t="shared" si="4"/>
        <v>160123</v>
      </c>
      <c r="G12" s="64">
        <v>123322.09</v>
      </c>
      <c r="H12" s="64">
        <v>104327.65</v>
      </c>
      <c r="I12" s="65">
        <f t="shared" si="2"/>
        <v>65.154693579310901</v>
      </c>
      <c r="J12" s="64">
        <v>92514.14</v>
      </c>
      <c r="K12" s="174">
        <f t="shared" si="5"/>
        <v>36800.910000000003</v>
      </c>
    </row>
    <row r="13" spans="1:14" s="7" customFormat="1" ht="27" customHeight="1" x14ac:dyDescent="0.2">
      <c r="A13" s="67" t="s">
        <v>18</v>
      </c>
      <c r="B13" s="64">
        <v>5500</v>
      </c>
      <c r="C13" s="64">
        <v>3833</v>
      </c>
      <c r="D13" s="64">
        <v>3000</v>
      </c>
      <c r="E13" s="64">
        <v>2633</v>
      </c>
      <c r="F13" s="64">
        <f t="shared" si="4"/>
        <v>1200</v>
      </c>
      <c r="G13" s="64">
        <v>0</v>
      </c>
      <c r="H13" s="64">
        <v>0</v>
      </c>
      <c r="I13" s="65">
        <f t="shared" si="2"/>
        <v>0</v>
      </c>
      <c r="J13" s="64">
        <v>0</v>
      </c>
      <c r="K13" s="174">
        <f t="shared" si="5"/>
        <v>3000</v>
      </c>
    </row>
    <row r="14" spans="1:14" s="7" customFormat="1" ht="27" customHeight="1" x14ac:dyDescent="0.2">
      <c r="A14" s="67" t="s">
        <v>19</v>
      </c>
      <c r="B14" s="64">
        <v>5000</v>
      </c>
      <c r="C14" s="64">
        <v>10421</v>
      </c>
      <c r="D14" s="64">
        <v>9588</v>
      </c>
      <c r="E14" s="64">
        <v>4541</v>
      </c>
      <c r="F14" s="64">
        <f t="shared" si="4"/>
        <v>5880</v>
      </c>
      <c r="G14" s="64">
        <f>3227.25+360</f>
        <v>3587.25</v>
      </c>
      <c r="H14" s="64">
        <v>3227</v>
      </c>
      <c r="I14" s="65">
        <f t="shared" si="2"/>
        <v>33.65665415102211</v>
      </c>
      <c r="J14" s="64">
        <v>2947.25</v>
      </c>
      <c r="K14" s="174">
        <f t="shared" si="5"/>
        <v>6000.75</v>
      </c>
    </row>
    <row r="15" spans="1:14" s="7" customFormat="1" ht="27" customHeight="1" x14ac:dyDescent="0.2">
      <c r="A15" s="63" t="s">
        <v>20</v>
      </c>
      <c r="B15" s="64">
        <v>240200</v>
      </c>
      <c r="C15" s="64">
        <v>205400</v>
      </c>
      <c r="D15" s="64">
        <v>205400</v>
      </c>
      <c r="E15" s="64">
        <v>8267</v>
      </c>
      <c r="F15" s="64">
        <f t="shared" si="4"/>
        <v>197133</v>
      </c>
      <c r="G15" s="64">
        <f>184957.9+475</f>
        <v>185432.9</v>
      </c>
      <c r="H15" s="64">
        <v>102524.9</v>
      </c>
      <c r="I15" s="65">
        <f t="shared" si="2"/>
        <v>49.914751703992202</v>
      </c>
      <c r="J15" s="64">
        <v>97844.87</v>
      </c>
      <c r="K15" s="174">
        <f t="shared" si="5"/>
        <v>19967.100000000006</v>
      </c>
    </row>
    <row r="16" spans="1:14" s="7" customFormat="1" ht="27" customHeight="1" x14ac:dyDescent="0.2">
      <c r="A16" s="68" t="s">
        <v>21</v>
      </c>
      <c r="B16" s="69">
        <v>173970</v>
      </c>
      <c r="C16" s="69">
        <v>179970</v>
      </c>
      <c r="D16" s="69">
        <v>179970</v>
      </c>
      <c r="E16" s="69">
        <v>13250</v>
      </c>
      <c r="F16" s="159">
        <f t="shared" si="4"/>
        <v>166720</v>
      </c>
      <c r="G16" s="69">
        <f>157885.98+100</f>
        <v>157985.98000000001</v>
      </c>
      <c r="H16" s="69">
        <v>60259.23</v>
      </c>
      <c r="I16" s="70">
        <f t="shared" si="2"/>
        <v>33.482930488414738</v>
      </c>
      <c r="J16" s="69">
        <v>54126.69</v>
      </c>
      <c r="K16" s="175">
        <f t="shared" si="5"/>
        <v>21984.01999999999</v>
      </c>
    </row>
    <row r="17" spans="1:14" ht="27" customHeight="1" x14ac:dyDescent="0.25">
      <c r="A17" s="161" t="s">
        <v>22</v>
      </c>
      <c r="B17" s="71">
        <f>SUM(B18:B25)</f>
        <v>160632</v>
      </c>
      <c r="C17" s="71">
        <f>SUM(C18:C25)</f>
        <v>128149</v>
      </c>
      <c r="D17" s="71">
        <f>SUM(D18:D25)</f>
        <v>127483</v>
      </c>
      <c r="E17" s="71">
        <f>SUM(E18:E25)</f>
        <v>32255</v>
      </c>
      <c r="F17" s="71">
        <f t="shared" si="4"/>
        <v>95894</v>
      </c>
      <c r="G17" s="71">
        <f>SUM(G18:G25)</f>
        <v>74692.460000000006</v>
      </c>
      <c r="H17" s="71">
        <f>SUM(H18:H25)</f>
        <v>48718.009999999995</v>
      </c>
      <c r="I17" s="62">
        <f t="shared" si="2"/>
        <v>38.215299294807927</v>
      </c>
      <c r="J17" s="71">
        <f>SUM(J18:J25)</f>
        <v>38423.839999999997</v>
      </c>
      <c r="K17" s="72">
        <f>SUM(K18:K25)</f>
        <v>52790.539999999994</v>
      </c>
      <c r="N17" s="1"/>
    </row>
    <row r="18" spans="1:14" ht="27" customHeight="1" x14ac:dyDescent="0.2">
      <c r="A18" s="162" t="s">
        <v>23</v>
      </c>
      <c r="B18" s="10">
        <v>5000</v>
      </c>
      <c r="C18" s="10">
        <v>6420</v>
      </c>
      <c r="D18" s="10">
        <v>6420</v>
      </c>
      <c r="E18" s="10">
        <v>549</v>
      </c>
      <c r="F18" s="10">
        <f t="shared" si="4"/>
        <v>5871</v>
      </c>
      <c r="G18" s="10">
        <v>5498.5</v>
      </c>
      <c r="H18" s="10">
        <v>4249</v>
      </c>
      <c r="I18" s="65">
        <f t="shared" si="2"/>
        <v>66.18380062305296</v>
      </c>
      <c r="J18" s="10">
        <v>3374</v>
      </c>
      <c r="K18" s="172">
        <f t="shared" ref="K18:K25" si="6">D18-G18</f>
        <v>921.5</v>
      </c>
    </row>
    <row r="19" spans="1:14" ht="27" customHeight="1" x14ac:dyDescent="0.2">
      <c r="A19" s="162" t="s">
        <v>24</v>
      </c>
      <c r="B19" s="10">
        <v>23000</v>
      </c>
      <c r="C19" s="10">
        <v>35250</v>
      </c>
      <c r="D19" s="10">
        <v>34917</v>
      </c>
      <c r="E19" s="10">
        <v>11061</v>
      </c>
      <c r="F19" s="10">
        <f t="shared" ref="F19:F25" si="7">C19-E19</f>
        <v>24189</v>
      </c>
      <c r="G19" s="10">
        <f>16633.68+190+180</f>
        <v>17003.68</v>
      </c>
      <c r="H19" s="10">
        <v>15850.78</v>
      </c>
      <c r="I19" s="65">
        <f t="shared" si="2"/>
        <v>45.395595268780255</v>
      </c>
      <c r="J19" s="10">
        <v>15390.78</v>
      </c>
      <c r="K19" s="172">
        <f t="shared" si="6"/>
        <v>17913.32</v>
      </c>
    </row>
    <row r="20" spans="1:14" ht="27" customHeight="1" x14ac:dyDescent="0.2">
      <c r="A20" s="162" t="s">
        <v>25</v>
      </c>
      <c r="B20" s="10">
        <v>23000</v>
      </c>
      <c r="C20" s="10">
        <v>13500</v>
      </c>
      <c r="D20" s="10">
        <v>13500</v>
      </c>
      <c r="E20" s="10">
        <v>3252</v>
      </c>
      <c r="F20" s="10">
        <f t="shared" si="7"/>
        <v>10248</v>
      </c>
      <c r="G20" s="10">
        <v>8077.7</v>
      </c>
      <c r="H20" s="10">
        <v>3040.2</v>
      </c>
      <c r="I20" s="65">
        <f t="shared" si="2"/>
        <v>22.52</v>
      </c>
      <c r="J20" s="10">
        <v>3040.2</v>
      </c>
      <c r="K20" s="172">
        <f t="shared" si="6"/>
        <v>5422.3</v>
      </c>
    </row>
    <row r="21" spans="1:14" ht="27" customHeight="1" x14ac:dyDescent="0.2">
      <c r="A21" s="162" t="s">
        <v>26</v>
      </c>
      <c r="B21" s="10">
        <v>19000</v>
      </c>
      <c r="C21" s="10">
        <v>11247</v>
      </c>
      <c r="D21" s="10">
        <v>10914</v>
      </c>
      <c r="E21" s="10">
        <v>6411</v>
      </c>
      <c r="F21" s="10">
        <f t="shared" si="7"/>
        <v>4836</v>
      </c>
      <c r="G21" s="10">
        <v>560.42999999999995</v>
      </c>
      <c r="H21" s="10">
        <v>560.42999999999995</v>
      </c>
      <c r="I21" s="65">
        <f t="shared" si="2"/>
        <v>5.1349642660802637</v>
      </c>
      <c r="J21" s="10">
        <v>560.42999999999995</v>
      </c>
      <c r="K21" s="172">
        <f t="shared" si="6"/>
        <v>10353.57</v>
      </c>
    </row>
    <row r="22" spans="1:14" ht="27" customHeight="1" x14ac:dyDescent="0.2">
      <c r="A22" s="162" t="s">
        <v>27</v>
      </c>
      <c r="B22" s="10">
        <v>23000</v>
      </c>
      <c r="C22" s="10">
        <v>28000</v>
      </c>
      <c r="D22" s="10">
        <v>28000</v>
      </c>
      <c r="E22" s="10">
        <v>5817</v>
      </c>
      <c r="F22" s="10">
        <f t="shared" si="7"/>
        <v>22183</v>
      </c>
      <c r="G22" s="10">
        <f>18301.46+12.95</f>
        <v>18314.41</v>
      </c>
      <c r="H22" s="10">
        <v>9556.4599999999991</v>
      </c>
      <c r="I22" s="65">
        <f t="shared" si="2"/>
        <v>34.130214285714281</v>
      </c>
      <c r="J22" s="10">
        <v>1499.53</v>
      </c>
      <c r="K22" s="172">
        <f t="shared" si="6"/>
        <v>9685.59</v>
      </c>
    </row>
    <row r="23" spans="1:14" ht="27" customHeight="1" x14ac:dyDescent="0.2">
      <c r="A23" s="162" t="s">
        <v>28</v>
      </c>
      <c r="B23" s="10">
        <v>11000</v>
      </c>
      <c r="C23" s="10">
        <v>6100</v>
      </c>
      <c r="D23" s="10">
        <v>6100</v>
      </c>
      <c r="E23" s="10">
        <v>2026</v>
      </c>
      <c r="F23" s="10">
        <f t="shared" si="7"/>
        <v>4074</v>
      </c>
      <c r="G23" s="10">
        <v>2720.48</v>
      </c>
      <c r="H23" s="10">
        <v>2500.48</v>
      </c>
      <c r="I23" s="65">
        <f t="shared" si="2"/>
        <v>40.991475409836063</v>
      </c>
      <c r="J23" s="10">
        <v>2196.4899999999998</v>
      </c>
      <c r="K23" s="172">
        <f t="shared" si="6"/>
        <v>3379.52</v>
      </c>
    </row>
    <row r="24" spans="1:14" ht="27" customHeight="1" x14ac:dyDescent="0.2">
      <c r="A24" s="162" t="s">
        <v>29</v>
      </c>
      <c r="B24" s="10">
        <v>41632</v>
      </c>
      <c r="C24" s="10">
        <v>15632</v>
      </c>
      <c r="D24" s="10">
        <v>15632</v>
      </c>
      <c r="E24" s="10">
        <v>2684</v>
      </c>
      <c r="F24" s="10">
        <f t="shared" si="7"/>
        <v>12948</v>
      </c>
      <c r="G24" s="10">
        <f>11155.93+75.5+45</f>
        <v>11276.43</v>
      </c>
      <c r="H24" s="10">
        <v>3765.93</v>
      </c>
      <c r="I24" s="65">
        <f t="shared" si="2"/>
        <v>24.091159160696009</v>
      </c>
      <c r="J24" s="10">
        <v>3167.68</v>
      </c>
      <c r="K24" s="172">
        <f t="shared" si="6"/>
        <v>4355.57</v>
      </c>
    </row>
    <row r="25" spans="1:14" ht="27" customHeight="1" x14ac:dyDescent="0.2">
      <c r="A25" s="163" t="s">
        <v>30</v>
      </c>
      <c r="B25" s="69">
        <v>15000</v>
      </c>
      <c r="C25" s="69">
        <v>12000</v>
      </c>
      <c r="D25" s="69">
        <v>12000</v>
      </c>
      <c r="E25" s="69">
        <v>455</v>
      </c>
      <c r="F25" s="69">
        <f t="shared" si="7"/>
        <v>11545</v>
      </c>
      <c r="G25" s="69">
        <v>11240.83</v>
      </c>
      <c r="H25" s="69">
        <v>9194.73</v>
      </c>
      <c r="I25" s="70">
        <f t="shared" si="2"/>
        <v>76.622749999999996</v>
      </c>
      <c r="J25" s="69">
        <v>9194.73</v>
      </c>
      <c r="K25" s="173">
        <f t="shared" si="6"/>
        <v>759.17000000000007</v>
      </c>
    </row>
    <row r="26" spans="1:14" ht="27" customHeight="1" x14ac:dyDescent="0.25">
      <c r="A26" s="161" t="s">
        <v>31</v>
      </c>
      <c r="B26" s="71">
        <v>0</v>
      </c>
      <c r="C26" s="71">
        <f>SUM(C27:C30)</f>
        <v>80406</v>
      </c>
      <c r="D26" s="71">
        <f>SUM(D27:D30)</f>
        <v>80406</v>
      </c>
      <c r="E26" s="71">
        <f>SUM(E27:E30)</f>
        <v>1285</v>
      </c>
      <c r="F26" s="71">
        <f>SUM(F27:F30)</f>
        <v>79121</v>
      </c>
      <c r="G26" s="71">
        <f t="shared" ref="G26:K26" si="8">SUM(G27:G30)</f>
        <v>78262.179999999993</v>
      </c>
      <c r="H26" s="71">
        <f t="shared" si="8"/>
        <v>77302.179999999993</v>
      </c>
      <c r="I26" s="62">
        <f t="shared" si="2"/>
        <v>96.139815436658949</v>
      </c>
      <c r="J26" s="71">
        <f t="shared" si="8"/>
        <v>62517.18</v>
      </c>
      <c r="K26" s="72">
        <f t="shared" si="8"/>
        <v>2143.8199999999997</v>
      </c>
      <c r="N26" s="1"/>
    </row>
    <row r="27" spans="1:14" ht="27" customHeight="1" x14ac:dyDescent="0.2">
      <c r="A27" s="162" t="s">
        <v>32</v>
      </c>
      <c r="B27" s="10">
        <v>0</v>
      </c>
      <c r="C27" s="10">
        <v>61406</v>
      </c>
      <c r="D27" s="10">
        <v>61406</v>
      </c>
      <c r="E27" s="10">
        <v>0</v>
      </c>
      <c r="F27" s="10">
        <f>C27-E27</f>
        <v>61406</v>
      </c>
      <c r="G27" s="10">
        <v>61405.18</v>
      </c>
      <c r="H27" s="10">
        <v>61405.18</v>
      </c>
      <c r="I27" s="65">
        <f t="shared" si="2"/>
        <v>99.998664625606608</v>
      </c>
      <c r="J27" s="10">
        <v>61405.18</v>
      </c>
      <c r="K27" s="172">
        <f>D27-G27</f>
        <v>0.81999999999970896</v>
      </c>
    </row>
    <row r="28" spans="1:14" ht="27" customHeight="1" x14ac:dyDescent="0.2">
      <c r="A28" s="162" t="s">
        <v>33</v>
      </c>
      <c r="B28" s="10">
        <v>0</v>
      </c>
      <c r="C28" s="10">
        <v>1000</v>
      </c>
      <c r="D28" s="10">
        <v>1000</v>
      </c>
      <c r="E28" s="10">
        <v>600</v>
      </c>
      <c r="F28" s="10">
        <f t="shared" ref="F28:F30" si="9">C28-E28</f>
        <v>400</v>
      </c>
      <c r="G28" s="10">
        <v>0</v>
      </c>
      <c r="H28" s="10">
        <v>0</v>
      </c>
      <c r="I28" s="65">
        <f t="shared" si="2"/>
        <v>0</v>
      </c>
      <c r="J28" s="10">
        <v>0</v>
      </c>
      <c r="K28" s="172">
        <f>D28-G28</f>
        <v>1000</v>
      </c>
    </row>
    <row r="29" spans="1:14" ht="27" customHeight="1" x14ac:dyDescent="0.2">
      <c r="A29" s="162" t="s">
        <v>34</v>
      </c>
      <c r="B29" s="10">
        <v>0</v>
      </c>
      <c r="C29" s="10">
        <v>2400</v>
      </c>
      <c r="D29" s="10">
        <v>2400</v>
      </c>
      <c r="E29" s="10">
        <v>196</v>
      </c>
      <c r="F29" s="10">
        <f t="shared" si="9"/>
        <v>2204</v>
      </c>
      <c r="G29" s="10">
        <v>2072</v>
      </c>
      <c r="H29" s="10">
        <v>1112</v>
      </c>
      <c r="I29" s="65">
        <f t="shared" si="2"/>
        <v>46.333333333333329</v>
      </c>
      <c r="J29" s="10">
        <v>1112</v>
      </c>
      <c r="K29" s="172">
        <f>D29-G29</f>
        <v>328</v>
      </c>
    </row>
    <row r="30" spans="1:14" ht="27" customHeight="1" x14ac:dyDescent="0.2">
      <c r="A30" s="163" t="s">
        <v>35</v>
      </c>
      <c r="B30" s="69">
        <v>0</v>
      </c>
      <c r="C30" s="69">
        <v>15600</v>
      </c>
      <c r="D30" s="69">
        <v>15600</v>
      </c>
      <c r="E30" s="69">
        <v>489</v>
      </c>
      <c r="F30" s="69">
        <f t="shared" si="9"/>
        <v>15111</v>
      </c>
      <c r="G30" s="69">
        <v>14785</v>
      </c>
      <c r="H30" s="69">
        <v>14785</v>
      </c>
      <c r="I30" s="70">
        <f t="shared" si="2"/>
        <v>94.775641025641022</v>
      </c>
      <c r="J30" s="69">
        <v>0</v>
      </c>
      <c r="K30" s="173">
        <f>D30-G30</f>
        <v>815</v>
      </c>
    </row>
    <row r="31" spans="1:14" ht="27" customHeight="1" x14ac:dyDescent="0.25">
      <c r="A31" s="161" t="s">
        <v>36</v>
      </c>
      <c r="B31" s="71">
        <f>SUM(B34:B34)</f>
        <v>20000</v>
      </c>
      <c r="C31" s="71">
        <f>SUM(C32:C34)</f>
        <v>148200</v>
      </c>
      <c r="D31" s="71">
        <f>SUM(D32:D34)</f>
        <v>148200</v>
      </c>
      <c r="E31" s="71">
        <f>SUM(E32:E34)</f>
        <v>0</v>
      </c>
      <c r="F31" s="71">
        <f>D31-E31</f>
        <v>148200</v>
      </c>
      <c r="G31" s="71">
        <f t="shared" ref="G31:K31" si="10">SUM(G32:G34)</f>
        <v>148200</v>
      </c>
      <c r="H31" s="71">
        <f t="shared" si="10"/>
        <v>18200</v>
      </c>
      <c r="I31" s="62">
        <f t="shared" si="2"/>
        <v>12.280701754385964</v>
      </c>
      <c r="J31" s="71">
        <f t="shared" si="10"/>
        <v>15000</v>
      </c>
      <c r="K31" s="72">
        <f t="shared" si="10"/>
        <v>0</v>
      </c>
      <c r="N31" s="1"/>
    </row>
    <row r="32" spans="1:14" ht="27" customHeight="1" x14ac:dyDescent="0.25">
      <c r="A32" s="162" t="s">
        <v>37</v>
      </c>
      <c r="B32" s="53"/>
      <c r="C32" s="10">
        <v>18200</v>
      </c>
      <c r="D32" s="10">
        <v>18200</v>
      </c>
      <c r="E32" s="10">
        <v>0</v>
      </c>
      <c r="F32" s="10">
        <f>C32-E32</f>
        <v>18200</v>
      </c>
      <c r="G32" s="10">
        <v>18200</v>
      </c>
      <c r="H32" s="10">
        <v>18200</v>
      </c>
      <c r="I32" s="65">
        <f t="shared" si="2"/>
        <v>100</v>
      </c>
      <c r="J32" s="10">
        <v>15000</v>
      </c>
      <c r="K32" s="172">
        <f>D32-G32</f>
        <v>0</v>
      </c>
    </row>
    <row r="33" spans="1:14" ht="27" customHeight="1" x14ac:dyDescent="0.25">
      <c r="A33" s="162" t="s">
        <v>69</v>
      </c>
      <c r="B33" s="53"/>
      <c r="C33" s="10"/>
      <c r="D33" s="10"/>
      <c r="E33" s="10">
        <v>0</v>
      </c>
      <c r="F33" s="10">
        <f>C33-E33</f>
        <v>0</v>
      </c>
      <c r="G33" s="10"/>
      <c r="H33" s="10"/>
      <c r="I33" s="65">
        <v>0</v>
      </c>
      <c r="J33" s="10"/>
      <c r="K33" s="172">
        <f>D33-G33</f>
        <v>0</v>
      </c>
    </row>
    <row r="34" spans="1:14" ht="27" customHeight="1" thickBot="1" x14ac:dyDescent="0.25">
      <c r="A34" s="164" t="s">
        <v>38</v>
      </c>
      <c r="B34" s="56">
        <v>20000</v>
      </c>
      <c r="C34" s="56">
        <v>130000</v>
      </c>
      <c r="D34" s="56">
        <v>130000</v>
      </c>
      <c r="E34" s="56">
        <v>0</v>
      </c>
      <c r="F34" s="56">
        <f>C34-E34</f>
        <v>130000</v>
      </c>
      <c r="G34" s="56">
        <v>130000</v>
      </c>
      <c r="H34" s="56">
        <v>0</v>
      </c>
      <c r="I34" s="73">
        <f t="shared" ref="I34" si="11">H34/D34*100</f>
        <v>0</v>
      </c>
      <c r="J34" s="56">
        <v>0</v>
      </c>
      <c r="K34" s="176">
        <f>D34-G34</f>
        <v>0</v>
      </c>
      <c r="N34" s="1"/>
    </row>
    <row r="35" spans="1:14" ht="14.25" x14ac:dyDescent="0.2">
      <c r="E35" s="74"/>
      <c r="F35" s="74"/>
    </row>
  </sheetData>
  <mergeCells count="1">
    <mergeCell ref="A1:K1"/>
  </mergeCells>
  <pageMargins left="0.25" right="0" top="0.74803149606299202" bottom="0.35433070866141703" header="0.31496062992126" footer="0.31496062992126"/>
  <pageSetup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4"/>
  <sheetViews>
    <sheetView zoomScaleNormal="100" workbookViewId="0">
      <pane ySplit="4" topLeftCell="A19" activePane="bottomLeft" state="frozen"/>
      <selection pane="bottomLeft" activeCell="A25" sqref="A25"/>
    </sheetView>
  </sheetViews>
  <sheetFormatPr baseColWidth="10" defaultColWidth="7.5703125" defaultRowHeight="12.75" x14ac:dyDescent="0.2"/>
  <cols>
    <col min="1" max="1" width="43.5703125" style="6" customWidth="1"/>
    <col min="2" max="2" width="11.85546875" style="6" customWidth="1"/>
    <col min="3" max="3" width="12.140625" style="6" customWidth="1"/>
    <col min="4" max="4" width="11" style="6" customWidth="1"/>
    <col min="5" max="5" width="10.85546875" style="6" customWidth="1"/>
    <col min="6" max="6" width="12.140625" style="6" customWidth="1"/>
    <col min="7" max="7" width="14.140625" style="6" customWidth="1"/>
    <col min="8" max="8" width="11" style="6" customWidth="1"/>
    <col min="9" max="9" width="11.140625" style="6" customWidth="1"/>
    <col min="10" max="10" width="9.85546875" style="6" customWidth="1"/>
    <col min="11" max="11" width="10.5703125" style="6" customWidth="1"/>
    <col min="12" max="12" width="11.140625" style="6" customWidth="1"/>
    <col min="13" max="14" width="12" style="6" bestFit="1" customWidth="1"/>
    <col min="15" max="16" width="7.5703125" style="6"/>
    <col min="17" max="17" width="9.42578125" style="6" bestFit="1" customWidth="1"/>
    <col min="18" max="16384" width="7.5703125" style="6"/>
  </cols>
  <sheetData>
    <row r="1" spans="1:13" ht="18.75" x14ac:dyDescent="0.3">
      <c r="A1" s="197" t="s">
        <v>71</v>
      </c>
      <c r="B1" s="198"/>
      <c r="C1" s="198"/>
      <c r="D1" s="198"/>
      <c r="E1" s="198"/>
      <c r="F1" s="198"/>
      <c r="G1" s="198"/>
      <c r="H1" s="198"/>
      <c r="I1" s="198"/>
      <c r="J1" s="198"/>
      <c r="K1" s="199"/>
    </row>
    <row r="2" spans="1:13" ht="15.75" thickBot="1" x14ac:dyDescent="0.3">
      <c r="A2" s="20"/>
      <c r="B2" s="15"/>
      <c r="C2" s="15"/>
      <c r="D2" s="15"/>
      <c r="E2" s="15"/>
      <c r="F2" s="15"/>
      <c r="G2" s="15"/>
      <c r="H2" s="15"/>
      <c r="I2" s="15"/>
      <c r="J2" s="16"/>
      <c r="K2" s="8"/>
    </row>
    <row r="3" spans="1:13" ht="66" customHeight="1" x14ac:dyDescent="0.2">
      <c r="A3" s="178" t="s">
        <v>39</v>
      </c>
      <c r="B3" s="179" t="s">
        <v>40</v>
      </c>
      <c r="C3" s="180" t="s">
        <v>92</v>
      </c>
      <c r="D3" s="181" t="s">
        <v>93</v>
      </c>
      <c r="E3" s="182" t="s">
        <v>103</v>
      </c>
      <c r="F3" s="182" t="s">
        <v>104</v>
      </c>
      <c r="G3" s="181" t="s">
        <v>109</v>
      </c>
      <c r="H3" s="183" t="s">
        <v>105</v>
      </c>
      <c r="I3" s="181" t="s">
        <v>106</v>
      </c>
      <c r="J3" s="182" t="s">
        <v>97</v>
      </c>
      <c r="K3" s="184" t="s">
        <v>110</v>
      </c>
    </row>
    <row r="4" spans="1:13" ht="23.25" customHeight="1" x14ac:dyDescent="0.25">
      <c r="A4" s="50" t="s">
        <v>9</v>
      </c>
      <c r="B4" s="47">
        <f>B5+B17+B19+B21+B26+B31+B33</f>
        <v>43186466</v>
      </c>
      <c r="C4" s="124">
        <f>C5+C17+C19+C21+C26+C31+C33</f>
        <v>43418841</v>
      </c>
      <c r="D4" s="26">
        <f>D5+D17+D19+D21+D26+D31+D33</f>
        <v>40424569</v>
      </c>
      <c r="E4" s="35">
        <f>E5+E17+E19+E21+E26+E31+E33</f>
        <v>3216078.95</v>
      </c>
      <c r="F4" s="35">
        <f>C4-E4</f>
        <v>40202762.049999997</v>
      </c>
      <c r="G4" s="26">
        <f>G5+G17+G19+G21+G26+G31+G33</f>
        <v>36441877.569999993</v>
      </c>
      <c r="H4" s="26">
        <f>H5+H17+H19+H21+H26+H31+H33</f>
        <v>23173184</v>
      </c>
      <c r="I4" s="31">
        <f>H4/D4*100</f>
        <v>57.324504807954789</v>
      </c>
      <c r="J4" s="26">
        <f>J5+J17+J19+J21+J26+J31+J33</f>
        <v>8238212.5100000007</v>
      </c>
      <c r="K4" s="36">
        <f>D4-E4-G4</f>
        <v>766612.48000000417</v>
      </c>
      <c r="L4" s="14"/>
    </row>
    <row r="5" spans="1:13" ht="23.25" customHeight="1" x14ac:dyDescent="0.25">
      <c r="A5" s="21" t="s">
        <v>41</v>
      </c>
      <c r="B5" s="47">
        <f>SUM(B6:B16)</f>
        <v>17300000</v>
      </c>
      <c r="C5" s="177">
        <f>SUM(C6:C16)</f>
        <v>17140459</v>
      </c>
      <c r="D5" s="26">
        <f t="shared" ref="D5" si="0">SUM(D6:D16)</f>
        <v>15192625</v>
      </c>
      <c r="E5" s="47">
        <f>SUM(E6:E16)</f>
        <v>861930</v>
      </c>
      <c r="F5" s="26">
        <f t="shared" ref="F5:F35" si="1">C5-E5</f>
        <v>16278529</v>
      </c>
      <c r="G5" s="35">
        <f t="shared" ref="G5" si="2">SUM(G6:G16)</f>
        <v>16001611.829999998</v>
      </c>
      <c r="H5" s="47">
        <f>SUM(H6:H16)</f>
        <v>9398934.4399999976</v>
      </c>
      <c r="I5" s="31">
        <f t="shared" ref="I5:I35" si="3">H5/D5*100</f>
        <v>61.865111789437286</v>
      </c>
      <c r="J5" s="26">
        <f t="shared" ref="J5" si="4">SUM(J6:J16)</f>
        <v>2657819.12</v>
      </c>
      <c r="K5" s="43">
        <f t="shared" ref="K5:K35" si="5">D5-E5-G5</f>
        <v>-1670916.8299999982</v>
      </c>
      <c r="L5" s="14"/>
      <c r="M5" s="14"/>
    </row>
    <row r="6" spans="1:13" ht="23.25" customHeight="1" x14ac:dyDescent="0.25">
      <c r="A6" s="17" t="s">
        <v>42</v>
      </c>
      <c r="B6" s="40">
        <v>6100000</v>
      </c>
      <c r="C6" s="135">
        <v>6100000</v>
      </c>
      <c r="D6" s="27">
        <v>4500000</v>
      </c>
      <c r="E6" s="40">
        <v>0</v>
      </c>
      <c r="F6" s="29">
        <f t="shared" si="1"/>
        <v>6100000</v>
      </c>
      <c r="G6" s="27">
        <v>6100000</v>
      </c>
      <c r="H6" s="40">
        <v>4500000</v>
      </c>
      <c r="I6" s="33">
        <f t="shared" si="3"/>
        <v>100</v>
      </c>
      <c r="J6" s="29">
        <v>0</v>
      </c>
      <c r="K6" s="37">
        <f t="shared" si="5"/>
        <v>-1600000</v>
      </c>
      <c r="L6" s="14"/>
    </row>
    <row r="7" spans="1:13" ht="23.25" customHeight="1" x14ac:dyDescent="0.25">
      <c r="A7" s="17" t="s">
        <v>43</v>
      </c>
      <c r="B7" s="40">
        <v>1900000</v>
      </c>
      <c r="C7" s="135">
        <v>1997655</v>
      </c>
      <c r="D7" s="27">
        <v>1974541</v>
      </c>
      <c r="E7" s="40">
        <v>27977.98</v>
      </c>
      <c r="F7" s="29">
        <f t="shared" si="1"/>
        <v>1969677.02</v>
      </c>
      <c r="G7" s="27">
        <f>1944804.35+791.99</f>
        <v>1945596.34</v>
      </c>
      <c r="H7" s="52">
        <v>726454.76</v>
      </c>
      <c r="I7" s="33">
        <f t="shared" si="3"/>
        <v>36.79106992460526</v>
      </c>
      <c r="J7" s="29">
        <v>542326.76</v>
      </c>
      <c r="K7" s="37">
        <f t="shared" si="5"/>
        <v>966.67999999993481</v>
      </c>
    </row>
    <row r="8" spans="1:13" ht="23.25" customHeight="1" x14ac:dyDescent="0.25">
      <c r="A8" s="17" t="s">
        <v>44</v>
      </c>
      <c r="B8" s="40">
        <v>800000</v>
      </c>
      <c r="C8" s="135">
        <v>800000</v>
      </c>
      <c r="D8" s="27">
        <v>800000</v>
      </c>
      <c r="E8" s="40">
        <v>0</v>
      </c>
      <c r="F8" s="29">
        <f t="shared" si="1"/>
        <v>800000</v>
      </c>
      <c r="G8" s="27">
        <v>800000</v>
      </c>
      <c r="H8" s="52">
        <v>0</v>
      </c>
      <c r="I8" s="33">
        <f t="shared" si="3"/>
        <v>0</v>
      </c>
      <c r="J8" s="29">
        <v>0</v>
      </c>
      <c r="K8" s="37">
        <f t="shared" si="5"/>
        <v>0</v>
      </c>
      <c r="L8" s="14"/>
    </row>
    <row r="9" spans="1:13" ht="23.25" customHeight="1" x14ac:dyDescent="0.25">
      <c r="A9" s="17" t="s">
        <v>45</v>
      </c>
      <c r="B9" s="40">
        <v>400000</v>
      </c>
      <c r="C9" s="135">
        <v>808200</v>
      </c>
      <c r="D9" s="27">
        <v>803700</v>
      </c>
      <c r="E9" s="40">
        <v>6718</v>
      </c>
      <c r="F9" s="29">
        <f t="shared" si="1"/>
        <v>801482</v>
      </c>
      <c r="G9" s="27">
        <v>795502.87</v>
      </c>
      <c r="H9" s="52">
        <v>524378.77</v>
      </c>
      <c r="I9" s="33">
        <f t="shared" si="3"/>
        <v>65.245585417444317</v>
      </c>
      <c r="J9" s="29">
        <v>249235.4</v>
      </c>
      <c r="K9" s="37">
        <f t="shared" si="5"/>
        <v>1479.1300000000047</v>
      </c>
      <c r="L9" s="14"/>
    </row>
    <row r="10" spans="1:13" ht="23.25" customHeight="1" x14ac:dyDescent="0.25">
      <c r="A10" s="17" t="s">
        <v>46</v>
      </c>
      <c r="B10" s="40">
        <v>1300000</v>
      </c>
      <c r="C10" s="135">
        <v>1383787</v>
      </c>
      <c r="D10" s="27">
        <v>1323987</v>
      </c>
      <c r="E10" s="40">
        <v>145961</v>
      </c>
      <c r="F10" s="29">
        <f t="shared" si="1"/>
        <v>1237826</v>
      </c>
      <c r="G10" s="27">
        <f>1116662.18+168.9</f>
        <v>1116831.0799999998</v>
      </c>
      <c r="H10" s="40">
        <v>592021.51</v>
      </c>
      <c r="I10" s="33">
        <f t="shared" si="3"/>
        <v>44.715054604010462</v>
      </c>
      <c r="J10" s="29">
        <v>469818.63</v>
      </c>
      <c r="K10" s="37">
        <f t="shared" si="5"/>
        <v>61194.920000000158</v>
      </c>
      <c r="L10" s="14"/>
    </row>
    <row r="11" spans="1:13" ht="23.25" customHeight="1" x14ac:dyDescent="0.25">
      <c r="A11" s="17" t="s">
        <v>47</v>
      </c>
      <c r="B11" s="52">
        <v>100000</v>
      </c>
      <c r="C11" s="135">
        <v>108750</v>
      </c>
      <c r="D11" s="27">
        <v>108750</v>
      </c>
      <c r="E11" s="40">
        <v>12544</v>
      </c>
      <c r="F11" s="29">
        <f t="shared" si="1"/>
        <v>96206</v>
      </c>
      <c r="G11" s="27">
        <v>89298.92</v>
      </c>
      <c r="H11" s="40">
        <v>76063.64</v>
      </c>
      <c r="I11" s="33">
        <f t="shared" si="3"/>
        <v>69.943577011494256</v>
      </c>
      <c r="J11" s="29">
        <v>9663.64</v>
      </c>
      <c r="K11" s="37">
        <f t="shared" si="5"/>
        <v>6907.0800000000017</v>
      </c>
      <c r="L11" s="14"/>
    </row>
    <row r="12" spans="1:13" ht="23.25" customHeight="1" x14ac:dyDescent="0.25">
      <c r="A12" s="17" t="s">
        <v>48</v>
      </c>
      <c r="B12" s="52">
        <v>2200000</v>
      </c>
      <c r="C12" s="135">
        <v>2530820</v>
      </c>
      <c r="D12" s="27">
        <v>2520400</v>
      </c>
      <c r="E12" s="40">
        <v>133911.01999999999</v>
      </c>
      <c r="F12" s="29">
        <f t="shared" si="1"/>
        <v>2396908.98</v>
      </c>
      <c r="G12" s="27">
        <f>2198266.62+104000</f>
        <v>2302266.62</v>
      </c>
      <c r="H12" s="40">
        <v>1187199.76</v>
      </c>
      <c r="I12" s="33">
        <f t="shared" si="3"/>
        <v>47.103624821456911</v>
      </c>
      <c r="J12" s="29">
        <v>1132264.69</v>
      </c>
      <c r="K12" s="37">
        <f t="shared" si="5"/>
        <v>84222.35999999987</v>
      </c>
    </row>
    <row r="13" spans="1:13" ht="23.25" customHeight="1" x14ac:dyDescent="0.25">
      <c r="A13" s="17" t="s">
        <v>49</v>
      </c>
      <c r="B13" s="52">
        <v>500000</v>
      </c>
      <c r="C13" s="135">
        <v>500000</v>
      </c>
      <c r="D13" s="27">
        <v>250000</v>
      </c>
      <c r="E13" s="40">
        <v>500000</v>
      </c>
      <c r="F13" s="29">
        <f t="shared" si="1"/>
        <v>0</v>
      </c>
      <c r="G13" s="27">
        <v>0</v>
      </c>
      <c r="H13" s="40">
        <v>0</v>
      </c>
      <c r="I13" s="33">
        <f t="shared" si="3"/>
        <v>0</v>
      </c>
      <c r="J13" s="29">
        <v>0</v>
      </c>
      <c r="K13" s="37">
        <f t="shared" si="5"/>
        <v>-250000</v>
      </c>
    </row>
    <row r="14" spans="1:13" ht="23.25" customHeight="1" x14ac:dyDescent="0.25">
      <c r="A14" s="22" t="s">
        <v>50</v>
      </c>
      <c r="B14" s="52">
        <v>2500000</v>
      </c>
      <c r="C14" s="135">
        <v>2500000</v>
      </c>
      <c r="D14" s="27">
        <v>2500000</v>
      </c>
      <c r="E14" s="40">
        <v>0</v>
      </c>
      <c r="F14" s="29">
        <f t="shared" si="1"/>
        <v>2500000</v>
      </c>
      <c r="G14" s="27">
        <v>2500000</v>
      </c>
      <c r="H14" s="40">
        <v>1500000</v>
      </c>
      <c r="I14" s="33">
        <f t="shared" si="3"/>
        <v>60</v>
      </c>
      <c r="J14" s="29">
        <v>0</v>
      </c>
      <c r="K14" s="37">
        <f t="shared" si="5"/>
        <v>0</v>
      </c>
      <c r="L14" s="14"/>
    </row>
    <row r="15" spans="1:13" ht="23.25" customHeight="1" x14ac:dyDescent="0.25">
      <c r="A15" s="22" t="s">
        <v>51</v>
      </c>
      <c r="B15" s="52">
        <v>500000</v>
      </c>
      <c r="C15" s="135">
        <v>231600</v>
      </c>
      <c r="D15" s="27">
        <v>231600</v>
      </c>
      <c r="E15" s="40">
        <v>3560</v>
      </c>
      <c r="F15" s="29">
        <f t="shared" si="1"/>
        <v>228040</v>
      </c>
      <c r="G15" s="27">
        <v>224566</v>
      </c>
      <c r="H15" s="40">
        <v>165266</v>
      </c>
      <c r="I15" s="33">
        <f t="shared" si="3"/>
        <v>71.358376511226254</v>
      </c>
      <c r="J15" s="29">
        <v>126960</v>
      </c>
      <c r="K15" s="37">
        <f t="shared" si="5"/>
        <v>3474</v>
      </c>
      <c r="L15" s="14"/>
    </row>
    <row r="16" spans="1:13" ht="23.25" customHeight="1" x14ac:dyDescent="0.25">
      <c r="A16" s="22" t="s">
        <v>52</v>
      </c>
      <c r="B16" s="52">
        <v>1000000</v>
      </c>
      <c r="C16" s="129">
        <v>179647</v>
      </c>
      <c r="D16" s="27">
        <v>179647</v>
      </c>
      <c r="E16" s="48">
        <v>31258</v>
      </c>
      <c r="F16" s="29">
        <f t="shared" si="1"/>
        <v>148389</v>
      </c>
      <c r="G16" s="27">
        <v>127550</v>
      </c>
      <c r="H16" s="40">
        <v>127550</v>
      </c>
      <c r="I16" s="32">
        <f t="shared" si="3"/>
        <v>71.000350687737622</v>
      </c>
      <c r="J16" s="28">
        <v>127550</v>
      </c>
      <c r="K16" s="37">
        <f t="shared" si="5"/>
        <v>20839</v>
      </c>
      <c r="L16" s="14"/>
    </row>
    <row r="17" spans="1:13" ht="23.25" customHeight="1" x14ac:dyDescent="0.25">
      <c r="A17" s="21" t="s">
        <v>53</v>
      </c>
      <c r="B17" s="126">
        <f>SUM(B18:B18)</f>
        <v>770000</v>
      </c>
      <c r="C17" s="127">
        <f>SUM(C18:C18)</f>
        <v>728386</v>
      </c>
      <c r="D17" s="26">
        <f>SUM(D18:D18)</f>
        <v>653486</v>
      </c>
      <c r="E17" s="128">
        <f>SUM(E18:E18)</f>
        <v>173159.01</v>
      </c>
      <c r="F17" s="26">
        <f t="shared" si="1"/>
        <v>555226.99</v>
      </c>
      <c r="G17" s="35">
        <f t="shared" ref="G17:J17" si="6">SUM(G18:G18)</f>
        <v>449336.83</v>
      </c>
      <c r="H17" s="47">
        <f t="shared" si="6"/>
        <v>401727.74</v>
      </c>
      <c r="I17" s="31">
        <f t="shared" si="3"/>
        <v>61.474574818741331</v>
      </c>
      <c r="J17" s="26">
        <f t="shared" si="6"/>
        <v>183901.4</v>
      </c>
      <c r="K17" s="36">
        <f t="shared" si="5"/>
        <v>30990.159999999974</v>
      </c>
      <c r="L17" s="14"/>
    </row>
    <row r="18" spans="1:13" ht="23.25" customHeight="1" x14ac:dyDescent="0.25">
      <c r="A18" s="18" t="s">
        <v>54</v>
      </c>
      <c r="B18" s="48">
        <v>770000</v>
      </c>
      <c r="C18" s="129">
        <v>728386</v>
      </c>
      <c r="D18" s="28">
        <v>653486</v>
      </c>
      <c r="E18" s="130">
        <v>173159.01</v>
      </c>
      <c r="F18" s="29">
        <f t="shared" si="1"/>
        <v>555226.99</v>
      </c>
      <c r="G18" s="39">
        <f>448225.24+1111.59</f>
        <v>449336.83</v>
      </c>
      <c r="H18" s="48">
        <v>401727.74</v>
      </c>
      <c r="I18" s="32">
        <f t="shared" si="3"/>
        <v>61.474574818741331</v>
      </c>
      <c r="J18" s="28">
        <v>183901.4</v>
      </c>
      <c r="K18" s="131">
        <f t="shared" si="5"/>
        <v>30990.159999999974</v>
      </c>
      <c r="L18" s="14"/>
    </row>
    <row r="19" spans="1:13" ht="23.25" customHeight="1" x14ac:dyDescent="0.25">
      <c r="A19" s="21" t="s">
        <v>55</v>
      </c>
      <c r="B19" s="47">
        <f t="shared" ref="B19:H19" si="7">SUM(B20)</f>
        <v>2100000</v>
      </c>
      <c r="C19" s="124">
        <f t="shared" si="7"/>
        <v>2100000</v>
      </c>
      <c r="D19" s="26">
        <f t="shared" si="7"/>
        <v>1600000</v>
      </c>
      <c r="E19" s="42">
        <f t="shared" si="7"/>
        <v>0</v>
      </c>
      <c r="F19" s="26">
        <f t="shared" si="1"/>
        <v>2100000</v>
      </c>
      <c r="G19" s="35">
        <f t="shared" si="7"/>
        <v>2100000</v>
      </c>
      <c r="H19" s="47">
        <f t="shared" si="7"/>
        <v>1600000</v>
      </c>
      <c r="I19" s="31">
        <f t="shared" si="3"/>
        <v>100</v>
      </c>
      <c r="J19" s="38">
        <f>J20</f>
        <v>0</v>
      </c>
      <c r="K19" s="36">
        <f t="shared" si="5"/>
        <v>-500000</v>
      </c>
      <c r="L19" s="14"/>
    </row>
    <row r="20" spans="1:13" ht="23.25" customHeight="1" x14ac:dyDescent="0.25">
      <c r="A20" s="18" t="s">
        <v>55</v>
      </c>
      <c r="B20" s="48">
        <v>2100000</v>
      </c>
      <c r="C20" s="129">
        <v>2100000</v>
      </c>
      <c r="D20" s="28">
        <v>1600000</v>
      </c>
      <c r="E20" s="48">
        <v>0</v>
      </c>
      <c r="F20" s="29">
        <f t="shared" si="1"/>
        <v>2100000</v>
      </c>
      <c r="G20" s="39">
        <v>2100000</v>
      </c>
      <c r="H20" s="48">
        <v>1600000</v>
      </c>
      <c r="I20" s="32">
        <f t="shared" si="3"/>
        <v>100</v>
      </c>
      <c r="J20" s="132">
        <v>0</v>
      </c>
      <c r="K20" s="131">
        <f t="shared" si="5"/>
        <v>-500000</v>
      </c>
      <c r="L20" s="14"/>
    </row>
    <row r="21" spans="1:13" ht="23.25" customHeight="1" x14ac:dyDescent="0.25">
      <c r="A21" s="21" t="s">
        <v>56</v>
      </c>
      <c r="B21" s="47">
        <f>SUM(B22:B25)</f>
        <v>7162143</v>
      </c>
      <c r="C21" s="124">
        <f>SUM(C22:C25)</f>
        <v>7440123</v>
      </c>
      <c r="D21" s="26">
        <f t="shared" ref="D21" si="8">SUM(D22:D25)</f>
        <v>7321598</v>
      </c>
      <c r="E21" s="47">
        <f>SUM(E22:E25)</f>
        <v>937656.98</v>
      </c>
      <c r="F21" s="26">
        <f t="shared" si="1"/>
        <v>6502466.0199999996</v>
      </c>
      <c r="G21" s="35">
        <f t="shared" ref="G21:J21" si="9">SUM(G22:G25)</f>
        <v>5789416.6100000003</v>
      </c>
      <c r="H21" s="47">
        <f t="shared" si="9"/>
        <v>4254583.16</v>
      </c>
      <c r="I21" s="31">
        <f t="shared" si="3"/>
        <v>58.110034995092605</v>
      </c>
      <c r="J21" s="26">
        <f t="shared" si="9"/>
        <v>3406448.47</v>
      </c>
      <c r="K21" s="133">
        <f t="shared" si="5"/>
        <v>594524.40999999922</v>
      </c>
      <c r="L21" s="14"/>
    </row>
    <row r="22" spans="1:13" ht="23.25" customHeight="1" x14ac:dyDescent="0.25">
      <c r="A22" s="17" t="s">
        <v>57</v>
      </c>
      <c r="B22" s="52">
        <v>1775000</v>
      </c>
      <c r="C22" s="125">
        <v>2123405</v>
      </c>
      <c r="D22" s="29">
        <v>2101205</v>
      </c>
      <c r="E22" s="40">
        <v>287163.99</v>
      </c>
      <c r="F22" s="29">
        <f t="shared" si="1"/>
        <v>1836241.01</v>
      </c>
      <c r="G22" s="52">
        <f>1608019.92+15400</f>
        <v>1623419.92</v>
      </c>
      <c r="H22" s="40">
        <v>1173848.47</v>
      </c>
      <c r="I22" s="33">
        <f t="shared" si="3"/>
        <v>55.865490040238818</v>
      </c>
      <c r="J22" s="134">
        <v>935597.13</v>
      </c>
      <c r="K22" s="37">
        <f t="shared" si="5"/>
        <v>190621.09000000008</v>
      </c>
      <c r="L22" s="14"/>
    </row>
    <row r="23" spans="1:13" ht="23.25" customHeight="1" x14ac:dyDescent="0.25">
      <c r="A23" s="20" t="s">
        <v>58</v>
      </c>
      <c r="B23" s="40">
        <v>5000000</v>
      </c>
      <c r="C23" s="125">
        <v>4836075</v>
      </c>
      <c r="D23" s="40">
        <v>4739750</v>
      </c>
      <c r="E23" s="40">
        <v>639044</v>
      </c>
      <c r="F23" s="29">
        <f t="shared" si="1"/>
        <v>4197031</v>
      </c>
      <c r="G23" s="52">
        <v>3759824.82</v>
      </c>
      <c r="H23" s="40">
        <v>2674562.8199999998</v>
      </c>
      <c r="I23" s="33">
        <f t="shared" si="3"/>
        <v>56.428352128276806</v>
      </c>
      <c r="J23" s="134">
        <v>2464903.4700000002</v>
      </c>
      <c r="K23" s="37">
        <f t="shared" si="5"/>
        <v>340881.18000000017</v>
      </c>
      <c r="L23" s="14"/>
    </row>
    <row r="24" spans="1:13" ht="23.25" customHeight="1" x14ac:dyDescent="0.25">
      <c r="A24" s="20" t="s">
        <v>59</v>
      </c>
      <c r="B24" s="40">
        <v>87143</v>
      </c>
      <c r="C24" s="125">
        <v>80643</v>
      </c>
      <c r="D24" s="40">
        <v>80643</v>
      </c>
      <c r="E24" s="40">
        <v>11448.99</v>
      </c>
      <c r="F24" s="29">
        <f t="shared" si="1"/>
        <v>69194.009999999995</v>
      </c>
      <c r="G24" s="52">
        <v>6171.87</v>
      </c>
      <c r="H24" s="40">
        <v>6171.87</v>
      </c>
      <c r="I24" s="33">
        <f t="shared" si="3"/>
        <v>7.653323909080763</v>
      </c>
      <c r="J24" s="134">
        <v>5947.87</v>
      </c>
      <c r="K24" s="37">
        <f t="shared" si="5"/>
        <v>63022.139999999992</v>
      </c>
    </row>
    <row r="25" spans="1:13" ht="30.75" customHeight="1" x14ac:dyDescent="0.25">
      <c r="A25" s="25" t="s">
        <v>60</v>
      </c>
      <c r="B25" s="48">
        <v>300000</v>
      </c>
      <c r="C25" s="129">
        <v>400000</v>
      </c>
      <c r="D25" s="28">
        <v>400000</v>
      </c>
      <c r="E25" s="48">
        <v>0</v>
      </c>
      <c r="F25" s="29">
        <f t="shared" si="1"/>
        <v>400000</v>
      </c>
      <c r="G25" s="39">
        <v>400000</v>
      </c>
      <c r="H25" s="48">
        <v>400000</v>
      </c>
      <c r="I25" s="32">
        <f t="shared" si="3"/>
        <v>100</v>
      </c>
      <c r="J25" s="132">
        <v>0</v>
      </c>
      <c r="K25" s="37">
        <f t="shared" si="5"/>
        <v>0</v>
      </c>
      <c r="L25" s="14"/>
    </row>
    <row r="26" spans="1:13" ht="23.25" customHeight="1" x14ac:dyDescent="0.25">
      <c r="A26" s="23" t="s">
        <v>61</v>
      </c>
      <c r="B26" s="47">
        <f>SUM(B27:B30)</f>
        <v>3954323</v>
      </c>
      <c r="C26" s="124">
        <f>SUM(C27:C30)</f>
        <v>4009873</v>
      </c>
      <c r="D26" s="26">
        <f t="shared" ref="D26" si="10">SUM(D27:D30)</f>
        <v>3959673</v>
      </c>
      <c r="E26" s="47">
        <f>SUM(E27:E30)</f>
        <v>1243332.96</v>
      </c>
      <c r="F26" s="26">
        <f t="shared" si="1"/>
        <v>2766540.04</v>
      </c>
      <c r="G26" s="35">
        <f t="shared" ref="G26:J26" si="11">SUM(G27:G30)</f>
        <v>2389456.0499999998</v>
      </c>
      <c r="H26" s="47">
        <f t="shared" si="11"/>
        <v>1674134.09</v>
      </c>
      <c r="I26" s="31">
        <f t="shared" si="3"/>
        <v>42.279604654222716</v>
      </c>
      <c r="J26" s="26">
        <f t="shared" si="11"/>
        <v>433923.9</v>
      </c>
      <c r="K26" s="36">
        <f t="shared" si="5"/>
        <v>326883.99000000022</v>
      </c>
      <c r="L26" s="14"/>
    </row>
    <row r="27" spans="1:13" ht="23.25" customHeight="1" x14ac:dyDescent="0.25">
      <c r="A27" s="20" t="s">
        <v>62</v>
      </c>
      <c r="B27" s="40">
        <v>2324323</v>
      </c>
      <c r="C27" s="135">
        <v>2629873</v>
      </c>
      <c r="D27" s="29">
        <v>2579673</v>
      </c>
      <c r="E27" s="40">
        <v>923413.97</v>
      </c>
      <c r="F27" s="29">
        <f t="shared" si="1"/>
        <v>1706459.03</v>
      </c>
      <c r="G27" s="27">
        <f>1363763.06+703.96</f>
        <v>1364467.02</v>
      </c>
      <c r="H27" s="40">
        <v>699412.06</v>
      </c>
      <c r="I27" s="33">
        <f t="shared" si="3"/>
        <v>27.112430916631684</v>
      </c>
      <c r="J27" s="29">
        <v>389727.87</v>
      </c>
      <c r="K27" s="41">
        <f t="shared" si="5"/>
        <v>291792.01</v>
      </c>
    </row>
    <row r="28" spans="1:13" ht="23.25" customHeight="1" x14ac:dyDescent="0.25">
      <c r="A28" s="20" t="s">
        <v>63</v>
      </c>
      <c r="B28" s="40">
        <v>830000</v>
      </c>
      <c r="C28" s="135">
        <v>830000</v>
      </c>
      <c r="D28" s="29">
        <v>830000</v>
      </c>
      <c r="E28" s="40">
        <v>0</v>
      </c>
      <c r="F28" s="29">
        <f t="shared" si="1"/>
        <v>830000</v>
      </c>
      <c r="G28" s="27">
        <v>830000</v>
      </c>
      <c r="H28" s="40">
        <v>830000</v>
      </c>
      <c r="I28" s="33">
        <f t="shared" si="3"/>
        <v>100</v>
      </c>
      <c r="J28" s="29">
        <v>0</v>
      </c>
      <c r="K28" s="41">
        <f t="shared" si="5"/>
        <v>0</v>
      </c>
      <c r="L28" s="14"/>
    </row>
    <row r="29" spans="1:13" ht="23.25" customHeight="1" x14ac:dyDescent="0.25">
      <c r="A29" s="20" t="s">
        <v>64</v>
      </c>
      <c r="B29" s="40">
        <v>300000</v>
      </c>
      <c r="C29" s="135">
        <v>300000</v>
      </c>
      <c r="D29" s="29">
        <v>300000</v>
      </c>
      <c r="E29" s="40">
        <v>69918.990000000005</v>
      </c>
      <c r="F29" s="29">
        <f t="shared" si="1"/>
        <v>230081.01</v>
      </c>
      <c r="G29" s="27">
        <f>178989.03+16000</f>
        <v>194989.03</v>
      </c>
      <c r="H29" s="40">
        <v>144722.03</v>
      </c>
      <c r="I29" s="33">
        <f t="shared" si="3"/>
        <v>48.240676666666666</v>
      </c>
      <c r="J29" s="29">
        <v>44196.03</v>
      </c>
      <c r="K29" s="41">
        <f t="shared" si="5"/>
        <v>35091.98000000001</v>
      </c>
    </row>
    <row r="30" spans="1:13" ht="29.25" customHeight="1" x14ac:dyDescent="0.25">
      <c r="A30" s="24" t="s">
        <v>65</v>
      </c>
      <c r="B30" s="48">
        <v>500000</v>
      </c>
      <c r="C30" s="129">
        <v>250000</v>
      </c>
      <c r="D30" s="28">
        <v>250000</v>
      </c>
      <c r="E30" s="48">
        <v>250000</v>
      </c>
      <c r="F30" s="29">
        <f t="shared" si="1"/>
        <v>0</v>
      </c>
      <c r="G30" s="39">
        <v>0</v>
      </c>
      <c r="H30" s="48">
        <v>0</v>
      </c>
      <c r="I30" s="32">
        <f t="shared" si="3"/>
        <v>0</v>
      </c>
      <c r="J30" s="28">
        <v>0</v>
      </c>
      <c r="K30" s="131">
        <f t="shared" si="5"/>
        <v>0</v>
      </c>
      <c r="M30" s="14"/>
    </row>
    <row r="31" spans="1:13" ht="23.25" customHeight="1" x14ac:dyDescent="0.25">
      <c r="A31" s="21" t="s">
        <v>66</v>
      </c>
      <c r="B31" s="47">
        <f>SUM(B32:B32)</f>
        <v>3400000</v>
      </c>
      <c r="C31" s="124">
        <f>SUM(C32:C32)</f>
        <v>3500000</v>
      </c>
      <c r="D31" s="26">
        <f>SUM(D32:D32)</f>
        <v>3500000</v>
      </c>
      <c r="E31" s="47">
        <f>SUM(E32:E32)</f>
        <v>0</v>
      </c>
      <c r="F31" s="26">
        <f t="shared" si="1"/>
        <v>3500000</v>
      </c>
      <c r="G31" s="42">
        <f>SUM(G32:G32)</f>
        <v>3500000</v>
      </c>
      <c r="H31" s="47">
        <f>SUM(H32:H32)</f>
        <v>2300000</v>
      </c>
      <c r="I31" s="31">
        <f t="shared" si="3"/>
        <v>65.714285714285708</v>
      </c>
      <c r="J31" s="26">
        <f>SUM(J32:J32)</f>
        <v>0</v>
      </c>
      <c r="K31" s="36">
        <f t="shared" si="5"/>
        <v>0</v>
      </c>
    </row>
    <row r="32" spans="1:13" ht="23.25" customHeight="1" x14ac:dyDescent="0.25">
      <c r="A32" s="17" t="s">
        <v>67</v>
      </c>
      <c r="B32" s="40">
        <v>3400000</v>
      </c>
      <c r="C32" s="135">
        <v>3500000</v>
      </c>
      <c r="D32" s="29">
        <v>3500000</v>
      </c>
      <c r="E32" s="40">
        <v>0</v>
      </c>
      <c r="F32" s="29">
        <f t="shared" si="1"/>
        <v>3500000</v>
      </c>
      <c r="G32" s="27">
        <v>3500000</v>
      </c>
      <c r="H32" s="52">
        <v>2300000</v>
      </c>
      <c r="I32" s="32">
        <f t="shared" si="3"/>
        <v>65.714285714285708</v>
      </c>
      <c r="J32" s="28">
        <v>0</v>
      </c>
      <c r="K32" s="136">
        <f t="shared" si="5"/>
        <v>0</v>
      </c>
      <c r="L32" s="14"/>
    </row>
    <row r="33" spans="1:12" ht="23.25" customHeight="1" x14ac:dyDescent="0.25">
      <c r="A33" s="21" t="s">
        <v>68</v>
      </c>
      <c r="B33" s="47">
        <f>B34+B35</f>
        <v>8500000</v>
      </c>
      <c r="C33" s="124">
        <f>SUM(C34:C35)</f>
        <v>8500000</v>
      </c>
      <c r="D33" s="35">
        <f t="shared" ref="D33" si="12">SUM(D34:D35)</f>
        <v>8197187</v>
      </c>
      <c r="E33" s="47">
        <f>SUM(E34:E35)</f>
        <v>0</v>
      </c>
      <c r="F33" s="26">
        <f t="shared" si="1"/>
        <v>8500000</v>
      </c>
      <c r="G33" s="35">
        <f>SUM(G34:G35)</f>
        <v>6212056.25</v>
      </c>
      <c r="H33" s="42">
        <f>SUM(H34:H35)</f>
        <v>3543804.5700000003</v>
      </c>
      <c r="I33" s="31">
        <f t="shared" si="3"/>
        <v>43.231959573448798</v>
      </c>
      <c r="J33" s="38">
        <f>SUM(J34:J35)</f>
        <v>1556119.62</v>
      </c>
      <c r="K33" s="133">
        <f t="shared" si="5"/>
        <v>1985130.75</v>
      </c>
      <c r="L33" s="14"/>
    </row>
    <row r="34" spans="1:12" ht="23.25" customHeight="1" x14ac:dyDescent="0.25">
      <c r="A34" s="17" t="s">
        <v>107</v>
      </c>
      <c r="B34" s="40">
        <v>5000000</v>
      </c>
      <c r="C34" s="135">
        <f>65820+4934180</f>
        <v>5000000</v>
      </c>
      <c r="D34" s="27">
        <v>4839108</v>
      </c>
      <c r="E34" s="52">
        <v>0</v>
      </c>
      <c r="F34" s="29">
        <f t="shared" si="1"/>
        <v>5000000</v>
      </c>
      <c r="G34" s="52">
        <f>3427164.4+40452.94</f>
        <v>3467617.34</v>
      </c>
      <c r="H34" s="40">
        <v>1667317.04</v>
      </c>
      <c r="I34" s="33">
        <f t="shared" si="3"/>
        <v>34.455049153687</v>
      </c>
      <c r="J34" s="29">
        <v>812381.84</v>
      </c>
      <c r="K34" s="37">
        <f t="shared" si="5"/>
        <v>1371490.6600000001</v>
      </c>
      <c r="L34" s="14"/>
    </row>
    <row r="35" spans="1:12" ht="23.25" customHeight="1" thickBot="1" x14ac:dyDescent="0.3">
      <c r="A35" s="19" t="s">
        <v>108</v>
      </c>
      <c r="B35" s="137">
        <v>3500000</v>
      </c>
      <c r="C35" s="138">
        <v>3500000</v>
      </c>
      <c r="D35" s="45">
        <v>3358079</v>
      </c>
      <c r="E35" s="137">
        <v>0</v>
      </c>
      <c r="F35" s="30">
        <f t="shared" si="1"/>
        <v>3500000</v>
      </c>
      <c r="G35" s="44">
        <v>2744438.91</v>
      </c>
      <c r="H35" s="49">
        <v>1876487.53</v>
      </c>
      <c r="I35" s="34">
        <f t="shared" si="3"/>
        <v>55.879791094849175</v>
      </c>
      <c r="J35" s="30">
        <v>743737.78</v>
      </c>
      <c r="K35" s="46">
        <f t="shared" si="5"/>
        <v>613640.08999999985</v>
      </c>
    </row>
    <row r="36" spans="1:12" ht="18" customHeight="1" x14ac:dyDescent="0.2">
      <c r="J36" s="14"/>
    </row>
    <row r="37" spans="1:12" ht="18" customHeight="1" x14ac:dyDescent="0.2"/>
    <row r="38" spans="1:12" ht="18" customHeight="1" x14ac:dyDescent="0.2"/>
    <row r="39" spans="1:12" ht="18" customHeight="1" x14ac:dyDescent="0.2"/>
    <row r="40" spans="1:12" ht="15" customHeight="1" x14ac:dyDescent="0.2"/>
    <row r="41" spans="1:12" ht="15" customHeight="1" x14ac:dyDescent="0.2"/>
    <row r="42" spans="1:12" ht="15" customHeight="1" x14ac:dyDescent="0.2"/>
    <row r="43" spans="1:12" ht="15" customHeight="1" x14ac:dyDescent="0.2"/>
    <row r="44" spans="1:12" ht="15" customHeight="1" x14ac:dyDescent="0.2"/>
  </sheetData>
  <mergeCells count="1">
    <mergeCell ref="A1:K1"/>
  </mergeCells>
  <printOptions horizontalCentered="1"/>
  <pageMargins left="0" right="0" top="0.59055118110236204" bottom="0.196850393700787" header="0" footer="0"/>
  <pageSetup scale="6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4CCEBCE57E214D8CBC2EC414F89F90" ma:contentTypeVersion="11" ma:contentTypeDescription="Create a new document." ma:contentTypeScope="" ma:versionID="395c11762245d66ee22672b831057e5b">
  <xsd:schema xmlns:xsd="http://www.w3.org/2001/XMLSchema" xmlns:xs="http://www.w3.org/2001/XMLSchema" xmlns:p="http://schemas.microsoft.com/office/2006/metadata/properties" xmlns:ns3="9ba63c68-6957-4bc5-a905-ffe127cbb0fd" xmlns:ns4="35ea4acc-81e9-47d9-9c8d-1bc622d0a6da" targetNamespace="http://schemas.microsoft.com/office/2006/metadata/properties" ma:root="true" ma:fieldsID="673c5d640a29ba68458ff4d504ba2bad" ns3:_="" ns4:_="">
    <xsd:import namespace="9ba63c68-6957-4bc5-a905-ffe127cbb0fd"/>
    <xsd:import namespace="35ea4acc-81e9-47d9-9c8d-1bc622d0a6d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a63c68-6957-4bc5-a905-ffe127cbb0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ea4acc-81e9-47d9-9c8d-1bc622d0a6d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C43A196-56D9-457B-8287-9FD35868CE3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20AB29C-23B8-43DE-B10B-7B5354578E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a63c68-6957-4bc5-a905-ffe127cbb0fd"/>
    <ds:schemaRef ds:uri="35ea4acc-81e9-47d9-9c8d-1bc622d0a6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A24721-03D7-4594-8FD7-91651AE5B237}">
  <ds:schemaRefs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www.w3.org/XML/1998/namespace"/>
    <ds:schemaRef ds:uri="9ba63c68-6957-4bc5-a905-ffe127cbb0fd"/>
    <ds:schemaRef ds:uri="http://schemas.openxmlformats.org/package/2006/metadata/core-properties"/>
    <ds:schemaRef ds:uri="35ea4acc-81e9-47d9-9c8d-1bc622d0a6da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Ejec en base Modificado</vt:lpstr>
      <vt:lpstr>Ejec en base Asignado</vt:lpstr>
      <vt:lpstr>Funcionamiento</vt:lpstr>
      <vt:lpstr>Inversiones</vt:lpstr>
      <vt:lpstr>'Ejec en base Asignado'!Área_de_impresión</vt:lpstr>
      <vt:lpstr>'Ejec en base Modificado'!Área_de_impresión</vt:lpstr>
      <vt:lpstr>Funcionamiento!Área_de_impresión</vt:lpstr>
      <vt:lpstr>Inversiones!Área_de_impresión</vt:lpstr>
    </vt:vector>
  </TitlesOfParts>
  <Manager/>
  <Company>SENACYT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ihun</dc:creator>
  <cp:keywords/>
  <dc:description/>
  <cp:lastModifiedBy>Rosa Caceres</cp:lastModifiedBy>
  <cp:revision/>
  <cp:lastPrinted>2022-09-08T16:36:13Z</cp:lastPrinted>
  <dcterms:created xsi:type="dcterms:W3CDTF">2006-08-30T19:27:32Z</dcterms:created>
  <dcterms:modified xsi:type="dcterms:W3CDTF">2022-09-08T16:36:15Z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0x010100AC4CCEBCE57E214D8CBC2EC414F89F90</vt:lpwstr>
  </property>
</Properties>
</file>